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tdocs\"/>
    </mc:Choice>
  </mc:AlternateContent>
  <bookViews>
    <workbookView xWindow="0" yWindow="0" windowWidth="23040" windowHeight="10668" activeTab="1"/>
  </bookViews>
  <sheets>
    <sheet name="Instructions" sheetId="16" r:id="rId1"/>
    <sheet name="Template" sheetId="15" r:id="rId2"/>
  </sheets>
  <definedNames>
    <definedName name="solver_adj" localSheetId="1" hidden="1">Template!$B$18:$B$20</definedName>
    <definedName name="solver_cvg" localSheetId="1" hidden="1">0.0001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1" hidden="1">2147483647</definedName>
    <definedName name="solver_num" localSheetId="0" hidden="1">0</definedName>
    <definedName name="solver_num" localSheetId="1" hidden="1">0</definedName>
    <definedName name="solver_nwt" localSheetId="1" hidden="1">1</definedName>
    <definedName name="solver_opt" localSheetId="1" hidden="1">Template!$B$22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0" hidden="1">1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52511"/>
</workbook>
</file>

<file path=xl/calcChain.xml><?xml version="1.0" encoding="utf-8"?>
<calcChain xmlns="http://schemas.openxmlformats.org/spreadsheetml/2006/main">
  <c r="Q33" i="15" l="1"/>
  <c r="Q34" i="15"/>
  <c r="Q35" i="15"/>
  <c r="L26" i="15"/>
  <c r="M26" i="15"/>
  <c r="N26" i="15"/>
  <c r="L27" i="15"/>
  <c r="M27" i="15"/>
  <c r="N27" i="15"/>
  <c r="L28" i="15"/>
  <c r="M28" i="15"/>
  <c r="N28" i="15"/>
  <c r="L29" i="15"/>
  <c r="M29" i="15"/>
  <c r="N29" i="15"/>
  <c r="L30" i="15"/>
  <c r="M30" i="15"/>
  <c r="N30" i="15"/>
  <c r="L31" i="15"/>
  <c r="M31" i="15"/>
  <c r="N31" i="15"/>
  <c r="L32" i="15"/>
  <c r="M32" i="15"/>
  <c r="N32" i="15"/>
  <c r="L33" i="15"/>
  <c r="M33" i="15"/>
  <c r="N33" i="15"/>
  <c r="L34" i="15"/>
  <c r="M34" i="15"/>
  <c r="N34" i="15"/>
  <c r="L35" i="15"/>
  <c r="M35" i="15"/>
  <c r="N35" i="15"/>
  <c r="L36" i="15"/>
  <c r="M36" i="15"/>
  <c r="N36" i="15"/>
  <c r="M25" i="15"/>
  <c r="N25" i="15"/>
  <c r="L25" i="15"/>
  <c r="T105" i="15"/>
  <c r="T104" i="15"/>
  <c r="T103" i="15"/>
  <c r="T102" i="15"/>
  <c r="T101" i="15"/>
  <c r="T100" i="15"/>
  <c r="T99" i="15"/>
  <c r="T98" i="15"/>
  <c r="T97" i="15"/>
  <c r="T96" i="15"/>
  <c r="T95" i="15"/>
  <c r="T94" i="15"/>
  <c r="T93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O36" i="15"/>
  <c r="H36" i="15"/>
  <c r="G36" i="15"/>
  <c r="J36" i="15" s="1"/>
  <c r="H43" i="15" s="1"/>
  <c r="T35" i="15"/>
  <c r="O35" i="15"/>
  <c r="P35" i="15" s="1"/>
  <c r="H35" i="15"/>
  <c r="G35" i="15"/>
  <c r="J35" i="15" s="1"/>
  <c r="C35" i="15"/>
  <c r="T34" i="15"/>
  <c r="O34" i="15"/>
  <c r="P34" i="15" s="1"/>
  <c r="H34" i="15"/>
  <c r="G34" i="15"/>
  <c r="J34" i="15" s="1"/>
  <c r="C34" i="15"/>
  <c r="T33" i="15"/>
  <c r="O33" i="15"/>
  <c r="P33" i="15" s="1"/>
  <c r="H33" i="15"/>
  <c r="G33" i="15"/>
  <c r="J33" i="15" s="1"/>
  <c r="C33" i="15"/>
  <c r="T32" i="15"/>
  <c r="O32" i="15"/>
  <c r="P32" i="15" s="1"/>
  <c r="Q32" i="15" s="1"/>
  <c r="H32" i="15"/>
  <c r="G32" i="15"/>
  <c r="J32" i="15" s="1"/>
  <c r="C32" i="15"/>
  <c r="T31" i="15"/>
  <c r="O31" i="15"/>
  <c r="P31" i="15" s="1"/>
  <c r="Q31" i="15" s="1"/>
  <c r="H31" i="15"/>
  <c r="G31" i="15"/>
  <c r="J31" i="15" s="1"/>
  <c r="C31" i="15"/>
  <c r="T30" i="15"/>
  <c r="O30" i="15"/>
  <c r="P30" i="15" s="1"/>
  <c r="Q30" i="15" s="1"/>
  <c r="H30" i="15"/>
  <c r="G30" i="15"/>
  <c r="J30" i="15" s="1"/>
  <c r="C30" i="15"/>
  <c r="T29" i="15"/>
  <c r="O29" i="15"/>
  <c r="P29" i="15" s="1"/>
  <c r="Q29" i="15" s="1"/>
  <c r="H29" i="15"/>
  <c r="G29" i="15"/>
  <c r="J29" i="15" s="1"/>
  <c r="C29" i="15"/>
  <c r="T28" i="15"/>
  <c r="O28" i="15"/>
  <c r="P28" i="15" s="1"/>
  <c r="Q28" i="15" s="1"/>
  <c r="H28" i="15"/>
  <c r="G28" i="15"/>
  <c r="J28" i="15" s="1"/>
  <c r="C28" i="15"/>
  <c r="T27" i="15"/>
  <c r="O27" i="15"/>
  <c r="P27" i="15" s="1"/>
  <c r="Q27" i="15" s="1"/>
  <c r="H27" i="15"/>
  <c r="G27" i="15"/>
  <c r="J27" i="15" s="1"/>
  <c r="C27" i="15"/>
  <c r="T26" i="15"/>
  <c r="O26" i="15"/>
  <c r="P26" i="15" s="1"/>
  <c r="Q26" i="15" s="1"/>
  <c r="H26" i="15"/>
  <c r="G26" i="15"/>
  <c r="J26" i="15" s="1"/>
  <c r="C26" i="15"/>
  <c r="T25" i="15"/>
  <c r="O25" i="15"/>
  <c r="H25" i="15"/>
  <c r="G25" i="15"/>
  <c r="B21" i="15"/>
  <c r="C21" i="15" s="1"/>
  <c r="J12" i="15"/>
  <c r="H12" i="15"/>
  <c r="J5" i="15" s="1"/>
  <c r="J25" i="15" l="1"/>
  <c r="N5" i="15" s="1"/>
  <c r="I34" i="15"/>
  <c r="K34" i="15" s="1"/>
  <c r="I33" i="15"/>
  <c r="K33" i="15" s="1"/>
  <c r="B22" i="15"/>
  <c r="I32" i="15"/>
  <c r="K32" i="15" s="1"/>
  <c r="I30" i="15"/>
  <c r="K30" i="15" s="1"/>
  <c r="I29" i="15"/>
  <c r="K29" i="15" s="1"/>
  <c r="I28" i="15"/>
  <c r="K28" i="15" s="1"/>
  <c r="I26" i="15"/>
  <c r="K26" i="15" s="1"/>
  <c r="I25" i="15"/>
  <c r="L12" i="15"/>
  <c r="I27" i="15"/>
  <c r="K27" i="15" s="1"/>
  <c r="I31" i="15"/>
  <c r="K31" i="15" s="1"/>
  <c r="I35" i="15"/>
  <c r="K35" i="15" s="1"/>
  <c r="I36" i="15"/>
  <c r="K36" i="15" s="1"/>
  <c r="H42" i="15"/>
  <c r="C19" i="15"/>
  <c r="F5" i="15"/>
  <c r="E18" i="15" s="1"/>
  <c r="C18" i="15"/>
  <c r="L5" i="15" l="1"/>
  <c r="J38" i="15"/>
  <c r="I43" i="15"/>
  <c r="I42" i="15"/>
  <c r="K25" i="15"/>
  <c r="H21" i="15"/>
</calcChain>
</file>

<file path=xl/sharedStrings.xml><?xml version="1.0" encoding="utf-8"?>
<sst xmlns="http://schemas.openxmlformats.org/spreadsheetml/2006/main" count="86" uniqueCount="78">
  <si>
    <t>Determination of IC50</t>
  </si>
  <si>
    <t>Date</t>
  </si>
  <si>
    <t>Compound (IC50)</t>
  </si>
  <si>
    <t>Radio-labeled compound</t>
  </si>
  <si>
    <t>Compound for unspecific binding</t>
  </si>
  <si>
    <t>Target</t>
  </si>
  <si>
    <t>Conc. (M)</t>
  </si>
  <si>
    <t>Sample volume</t>
  </si>
  <si>
    <t>Background (BG)</t>
  </si>
  <si>
    <t>Average, BG corrected (dpm)</t>
  </si>
  <si>
    <t>Stdev (dpm)</t>
  </si>
  <si>
    <t>Stdev (%)</t>
  </si>
  <si>
    <t>SA (Bq/umol)</t>
  </si>
  <si>
    <t>Conc. IC50 compound (M)</t>
  </si>
  <si>
    <t>with ligand for unspecific binding</t>
  </si>
  <si>
    <t>dpm</t>
  </si>
  <si>
    <t>log C (M)</t>
  </si>
  <si>
    <t>Function</t>
  </si>
  <si>
    <t>conc (uM)</t>
  </si>
  <si>
    <t>W/o substraction of unspecific</t>
  </si>
  <si>
    <t>after substraction of unspecific</t>
  </si>
  <si>
    <t>Fitted IC50 (uM)</t>
  </si>
  <si>
    <t>Fitted IC50 (M)</t>
  </si>
  <si>
    <t>% unspecific binding</t>
  </si>
  <si>
    <t>calc bound</t>
  </si>
  <si>
    <t>Curve</t>
  </si>
  <si>
    <t>logC</t>
  </si>
  <si>
    <t>bound calc</t>
  </si>
  <si>
    <t>Stdev</t>
  </si>
  <si>
    <t>radioligand only (max binding)</t>
  </si>
  <si>
    <t>For max and unspecific binding lines</t>
  </si>
  <si>
    <t>at</t>
  </si>
  <si>
    <t>M</t>
  </si>
  <si>
    <t>Amount added (pmol/mg protein)</t>
  </si>
  <si>
    <t>bound = Min + ((Max - Min) / (1 + C / IC50))</t>
  </si>
  <si>
    <t>nM</t>
  </si>
  <si>
    <t>17.2.2016</t>
  </si>
  <si>
    <t>Test compound (T)</t>
  </si>
  <si>
    <t>3H-labeled compound (L)</t>
  </si>
  <si>
    <t>Compound in excess (N)</t>
  </si>
  <si>
    <t>Target material</t>
  </si>
  <si>
    <t>Brain membranes</t>
  </si>
  <si>
    <t>Receptor XY</t>
  </si>
  <si>
    <t>Amount in tube (mg)</t>
  </si>
  <si>
    <t>mL</t>
  </si>
  <si>
    <t>Bq</t>
  </si>
  <si>
    <t>Volume added/counted activity of L</t>
  </si>
  <si>
    <t>dpm in added activity</t>
  </si>
  <si>
    <t>MW</t>
  </si>
  <si>
    <t>Incubation temperature</t>
  </si>
  <si>
    <t>°C</t>
  </si>
  <si>
    <t>Incubation time</t>
  </si>
  <si>
    <t>min</t>
  </si>
  <si>
    <t>Fitted unspecific (Bmin, pmol/mg)</t>
  </si>
  <si>
    <t>Fitted max binding (Bmax, pmol/mg)</t>
  </si>
  <si>
    <t>Sum deviations, to minimize with Solver</t>
  </si>
  <si>
    <t>% max bound of added L</t>
  </si>
  <si>
    <t>% max specific bound of added L</t>
  </si>
  <si>
    <t>Kd of L nM</t>
  </si>
  <si>
    <t>Ki of T nM</t>
  </si>
  <si>
    <t>diff^2 (individual values)</t>
  </si>
  <si>
    <t>Enter yellow fields</t>
  </si>
  <si>
    <t>Average bound (pmol/mg)</t>
  </si>
  <si>
    <t>Individual samples for curve fit</t>
  </si>
  <si>
    <t>Bound (pmol/mg)</t>
  </si>
  <si>
    <t>File &gt; Options &gt; Add-ins &gt; Excel Add-ins &gt; Solver Add-in</t>
  </si>
  <si>
    <t>Solver is now in the menu DATA</t>
  </si>
  <si>
    <t>Use Solver</t>
  </si>
  <si>
    <t>Enter estimated Bmax, Bmin (in pmol/mg) and IC50 (in µM) in fields B18-B20</t>
  </si>
  <si>
    <t>Open Solver</t>
  </si>
  <si>
    <t>Fill in yellow fields, enter experimental data (dpm)</t>
  </si>
  <si>
    <r>
      <rPr>
        <b/>
        <sz val="10"/>
        <rFont val="Arial"/>
        <family val="2"/>
      </rPr>
      <t>Set objective</t>
    </r>
    <r>
      <rPr>
        <sz val="10"/>
        <rFont val="Arial"/>
        <family val="2"/>
      </rPr>
      <t xml:space="preserve">: This is the cell that needs to be minimized, the sum of the squared differences between experimental values and values calculated with the entered estimated Bmax, Bmin, IC50: </t>
    </r>
    <r>
      <rPr>
        <b/>
        <sz val="10"/>
        <rFont val="Arial"/>
        <family val="2"/>
      </rPr>
      <t>$B$22</t>
    </r>
  </si>
  <si>
    <r>
      <rPr>
        <b/>
        <sz val="10"/>
        <rFont val="Arial"/>
        <family val="2"/>
      </rPr>
      <t>By Changing Variable Cells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$B$18:$B$20</t>
    </r>
  </si>
  <si>
    <r>
      <t>Click the radio button "</t>
    </r>
    <r>
      <rPr>
        <b/>
        <sz val="10"/>
        <rFont val="Arial"/>
        <family val="2"/>
      </rPr>
      <t>Min</t>
    </r>
    <r>
      <rPr>
        <sz val="10"/>
        <rFont val="Arial"/>
        <family val="2"/>
      </rPr>
      <t>" (to tell it to minimize cell B22)</t>
    </r>
  </si>
  <si>
    <t>It should now fit the data.</t>
  </si>
  <si>
    <t>If that was not successful, try to find better estimates to start from (cells B18-B20).</t>
  </si>
  <si>
    <t>by Stefanie D. Krämer, ETH Zurich. The template may contain errors, please double check your results.</t>
  </si>
  <si>
    <t>Load Solver add-in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</si>
</sst>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"/>
    <numFmt numFmtId="182" formatCode="0.0000"/>
    <numFmt numFmtId="183" formatCode="0.000"/>
  </numFmts>
  <fonts count="8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rgb="FFFF0000"/>
      <name val="Arial"/>
      <family val="2"/>
    </font>
    <font>
      <b/>
      <sz val="10"/>
      <color indexed="17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16">
    <border>
      <left/>
      <right/>
      <top/>
      <bottom/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4"/>
      </left>
      <right/>
      <top style="thick">
        <color indexed="14"/>
      </top>
      <bottom style="thick">
        <color indexed="1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80" fontId="0" fillId="0" borderId="0" xfId="0" applyNumberFormat="1"/>
    <xf numFmtId="1" fontId="0" fillId="0" borderId="0" xfId="0" applyNumberFormat="1"/>
    <xf numFmtId="2" fontId="0" fillId="0" borderId="0" xfId="0" applyNumberFormat="1"/>
    <xf numFmtId="182" fontId="0" fillId="0" borderId="0" xfId="0" applyNumberFormat="1"/>
    <xf numFmtId="183" fontId="0" fillId="0" borderId="0" xfId="0" applyNumberFormat="1"/>
    <xf numFmtId="11" fontId="0" fillId="0" borderId="0" xfId="0" applyNumberFormat="1"/>
    <xf numFmtId="11" fontId="0" fillId="0" borderId="0" xfId="0" applyNumberFormat="1" applyFill="1"/>
    <xf numFmtId="0" fontId="0" fillId="0" borderId="0" xfId="0" applyFill="1"/>
    <xf numFmtId="0" fontId="1" fillId="0" borderId="0" xfId="0" applyFont="1" applyAlignment="1">
      <alignment wrapText="1"/>
    </xf>
    <xf numFmtId="182" fontId="3" fillId="0" borderId="0" xfId="0" applyNumberFormat="1" applyFont="1"/>
    <xf numFmtId="182" fontId="0" fillId="0" borderId="0" xfId="0" applyNumberFormat="1" applyFill="1" applyBorder="1"/>
    <xf numFmtId="0" fontId="4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182" fontId="0" fillId="0" borderId="1" xfId="0" applyNumberFormat="1" applyBorder="1"/>
    <xf numFmtId="14" fontId="3" fillId="0" borderId="0" xfId="0" applyNumberFormat="1" applyFont="1" applyAlignment="1">
      <alignment horizontal="left"/>
    </xf>
    <xf numFmtId="0" fontId="5" fillId="0" borderId="0" xfId="0" applyFont="1"/>
    <xf numFmtId="0" fontId="1" fillId="0" borderId="2" xfId="0" applyFont="1" applyBorder="1" applyAlignment="1">
      <alignment wrapText="1"/>
    </xf>
    <xf numFmtId="11" fontId="0" fillId="2" borderId="3" xfId="0" applyNumberFormat="1" applyFill="1" applyBorder="1"/>
    <xf numFmtId="11" fontId="0" fillId="0" borderId="3" xfId="0" applyNumberFormat="1" applyBorder="1"/>
    <xf numFmtId="0" fontId="3" fillId="0" borderId="2" xfId="0" applyFont="1" applyBorder="1"/>
    <xf numFmtId="0" fontId="0" fillId="2" borderId="3" xfId="0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0" fillId="2" borderId="5" xfId="0" applyFill="1" applyBorder="1"/>
    <xf numFmtId="0" fontId="0" fillId="3" borderId="6" xfId="0" applyFill="1" applyBorder="1"/>
    <xf numFmtId="0" fontId="0" fillId="3" borderId="3" xfId="0" applyFill="1" applyBorder="1"/>
    <xf numFmtId="1" fontId="0" fillId="0" borderId="3" xfId="0" applyNumberFormat="1" applyBorder="1"/>
    <xf numFmtId="180" fontId="0" fillId="0" borderId="3" xfId="0" applyNumberFormat="1" applyBorder="1"/>
    <xf numFmtId="0" fontId="0" fillId="0" borderId="3" xfId="0" applyBorder="1"/>
    <xf numFmtId="0" fontId="0" fillId="0" borderId="2" xfId="0" applyBorder="1" applyAlignment="1">
      <alignment wrapText="1"/>
    </xf>
    <xf numFmtId="0" fontId="0" fillId="3" borderId="0" xfId="0" applyFill="1" applyBorder="1"/>
    <xf numFmtId="0" fontId="3" fillId="0" borderId="0" xfId="0" applyFont="1" applyBorder="1"/>
    <xf numFmtId="1" fontId="0" fillId="0" borderId="0" xfId="0" applyNumberFormat="1" applyBorder="1"/>
    <xf numFmtId="180" fontId="0" fillId="0" borderId="0" xfId="0" applyNumberFormat="1" applyBorder="1"/>
    <xf numFmtId="0" fontId="0" fillId="0" borderId="0" xfId="0" applyFill="1" applyBorder="1"/>
    <xf numFmtId="183" fontId="2" fillId="0" borderId="0" xfId="0" applyNumberFormat="1" applyFont="1"/>
    <xf numFmtId="0" fontId="3" fillId="0" borderId="7" xfId="0" applyFont="1" applyBorder="1"/>
    <xf numFmtId="2" fontId="5" fillId="0" borderId="8" xfId="0" applyNumberFormat="1" applyFont="1" applyBorder="1"/>
    <xf numFmtId="180" fontId="6" fillId="0" borderId="0" xfId="0" applyNumberFormat="1" applyFont="1"/>
    <xf numFmtId="0" fontId="3" fillId="0" borderId="2" xfId="0" applyFont="1" applyBorder="1" applyAlignment="1">
      <alignment wrapText="1"/>
    </xf>
    <xf numFmtId="0" fontId="7" fillId="0" borderId="0" xfId="0" applyFont="1"/>
    <xf numFmtId="0" fontId="3" fillId="0" borderId="0" xfId="0" applyFont="1" applyAlignment="1">
      <alignment wrapText="1"/>
    </xf>
    <xf numFmtId="182" fontId="0" fillId="0" borderId="9" xfId="0" applyNumberFormat="1" applyFill="1" applyBorder="1"/>
    <xf numFmtId="0" fontId="3" fillId="0" borderId="0" xfId="0" applyFont="1" applyAlignment="1">
      <alignment horizontal="left"/>
    </xf>
    <xf numFmtId="0" fontId="0" fillId="3" borderId="4" xfId="0" applyFill="1" applyBorder="1"/>
    <xf numFmtId="0" fontId="0" fillId="3" borderId="10" xfId="0" applyFill="1" applyBorder="1"/>
    <xf numFmtId="0" fontId="0" fillId="3" borderId="5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3" fillId="0" borderId="4" xfId="0" applyFont="1" applyBorder="1"/>
    <xf numFmtId="183" fontId="1" fillId="2" borderId="5" xfId="0" applyNumberFormat="1" applyFont="1" applyFill="1" applyBorder="1"/>
    <xf numFmtId="0" fontId="3" fillId="0" borderId="11" xfId="0" applyFont="1" applyBorder="1"/>
    <xf numFmtId="183" fontId="1" fillId="2" borderId="12" xfId="0" applyNumberFormat="1" applyFont="1" applyFill="1" applyBorder="1"/>
    <xf numFmtId="11" fontId="3" fillId="2" borderId="12" xfId="0" applyNumberFormat="1" applyFont="1" applyFill="1" applyBorder="1"/>
    <xf numFmtId="0" fontId="2" fillId="0" borderId="2" xfId="0" applyFont="1" applyBorder="1"/>
    <xf numFmtId="11" fontId="2" fillId="0" borderId="6" xfId="0" applyNumberFormat="1" applyFont="1" applyBorder="1"/>
    <xf numFmtId="180" fontId="2" fillId="0" borderId="6" xfId="0" applyNumberFormat="1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Template!$B$3:$B$8</c:f>
          <c:strCache>
            <c:ptCount val="6"/>
            <c:pt idx="0">
              <c:v>17.2.2016</c:v>
            </c:pt>
            <c:pt idx="1">
              <c:v>Test compound (T)</c:v>
            </c:pt>
            <c:pt idx="2">
              <c:v>3H-labeled compound (L)</c:v>
            </c:pt>
            <c:pt idx="3">
              <c:v>Compound in excess (N)</c:v>
            </c:pt>
            <c:pt idx="4">
              <c:v>Brain membranes</c:v>
            </c:pt>
            <c:pt idx="5">
              <c:v>Receptor XY</c:v>
            </c:pt>
          </c:strCache>
        </c:strRef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3795122687045697"/>
          <c:y val="0.16355652825515904"/>
          <c:w val="0.81419930883570735"/>
          <c:h val="0.69157662380081864"/>
        </c:manualLayout>
      </c:layout>
      <c:scatterChart>
        <c:scatterStyle val="lineMarker"/>
        <c:varyColors val="0"/>
        <c:ser>
          <c:idx val="0"/>
          <c:order val="0"/>
          <c:tx>
            <c:v>Experimental +/- SD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Template!$K$26:$K$35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6.1172946512992772E-3</c:v>
                  </c:pt>
                  <c:pt idx="5">
                    <c:v>5.2977325704598429E-3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Template!$K$26:$K$35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6.1172946512992772E-3</c:v>
                  </c:pt>
                  <c:pt idx="5">
                    <c:v>5.2977325704598429E-3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Template!$C$26:$C$35</c:f>
              <c:numCache>
                <c:formatCode>0.00</c:formatCode>
                <c:ptCount val="10"/>
                <c:pt idx="0">
                  <c:v>-9</c:v>
                </c:pt>
                <c:pt idx="1">
                  <c:v>-8.5228787452803374</c:v>
                </c:pt>
                <c:pt idx="2">
                  <c:v>-8</c:v>
                </c:pt>
                <c:pt idx="3">
                  <c:v>-7.5228787452803374</c:v>
                </c:pt>
                <c:pt idx="4">
                  <c:v>-7</c:v>
                </c:pt>
                <c:pt idx="5">
                  <c:v>-6</c:v>
                </c:pt>
                <c:pt idx="6">
                  <c:v>-5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Template!$J$26:$J$35</c:f>
              <c:numCache>
                <c:formatCode>0.0000</c:formatCode>
                <c:ptCount val="10"/>
                <c:pt idx="0">
                  <c:v>0.21084975630430172</c:v>
                </c:pt>
                <c:pt idx="1">
                  <c:v>0.21084975630430172</c:v>
                </c:pt>
                <c:pt idx="2">
                  <c:v>0.20025429116338206</c:v>
                </c:pt>
                <c:pt idx="3">
                  <c:v>0.18436109345200252</c:v>
                </c:pt>
                <c:pt idx="4">
                  <c:v>0.15434060888606344</c:v>
                </c:pt>
                <c:pt idx="5">
                  <c:v>0.11549057003602457</c:v>
                </c:pt>
                <c:pt idx="6">
                  <c:v>0.10489510489510488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</c:ser>
        <c:ser>
          <c:idx val="3"/>
          <c:order val="1"/>
          <c:tx>
            <c:strRef>
              <c:f>Template!$A$21:$B$21</c:f>
              <c:strCache>
                <c:ptCount val="1"/>
                <c:pt idx="0">
                  <c:v>Fitted IC50 (M) 9.17E-08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Template!$S$25:$S$105</c:f>
              <c:numCache>
                <c:formatCode>0.0</c:formatCode>
                <c:ptCount val="81"/>
                <c:pt idx="0">
                  <c:v>-11</c:v>
                </c:pt>
                <c:pt idx="1">
                  <c:v>-10.95</c:v>
                </c:pt>
                <c:pt idx="2">
                  <c:v>-10.9</c:v>
                </c:pt>
                <c:pt idx="3">
                  <c:v>-10.8</c:v>
                </c:pt>
                <c:pt idx="4">
                  <c:v>-10.7</c:v>
                </c:pt>
                <c:pt idx="5">
                  <c:v>-10.6</c:v>
                </c:pt>
                <c:pt idx="6">
                  <c:v>-10.5</c:v>
                </c:pt>
                <c:pt idx="7">
                  <c:v>-10.4</c:v>
                </c:pt>
                <c:pt idx="8">
                  <c:v>-10.3</c:v>
                </c:pt>
                <c:pt idx="9">
                  <c:v>-10.199999999999999</c:v>
                </c:pt>
                <c:pt idx="10">
                  <c:v>-10</c:v>
                </c:pt>
                <c:pt idx="11">
                  <c:v>-9.9</c:v>
                </c:pt>
                <c:pt idx="12">
                  <c:v>-9.8000000000000007</c:v>
                </c:pt>
                <c:pt idx="13">
                  <c:v>-9.6999999999999993</c:v>
                </c:pt>
                <c:pt idx="14">
                  <c:v>-9.6</c:v>
                </c:pt>
                <c:pt idx="15">
                  <c:v>-9.5000000000000107</c:v>
                </c:pt>
                <c:pt idx="16">
                  <c:v>-9.4000000000000092</c:v>
                </c:pt>
                <c:pt idx="17">
                  <c:v>-9.3000000000000096</c:v>
                </c:pt>
                <c:pt idx="18">
                  <c:v>-9.2000000000000099</c:v>
                </c:pt>
                <c:pt idx="19">
                  <c:v>-9.1000000000000103</c:v>
                </c:pt>
                <c:pt idx="20">
                  <c:v>-9.0000000000000107</c:v>
                </c:pt>
                <c:pt idx="21">
                  <c:v>-8.9000000000000092</c:v>
                </c:pt>
                <c:pt idx="22">
                  <c:v>-8.8000000000000096</c:v>
                </c:pt>
                <c:pt idx="23">
                  <c:v>-8.7000000000000099</c:v>
                </c:pt>
                <c:pt idx="24">
                  <c:v>-8.6000000000000103</c:v>
                </c:pt>
                <c:pt idx="25">
                  <c:v>-8.5000000000000107</c:v>
                </c:pt>
                <c:pt idx="26">
                  <c:v>-8.4000000000000092</c:v>
                </c:pt>
                <c:pt idx="27">
                  <c:v>-8.3000000000000096</c:v>
                </c:pt>
                <c:pt idx="28">
                  <c:v>-8.2000000000000099</c:v>
                </c:pt>
                <c:pt idx="29">
                  <c:v>-8.1000000000000103</c:v>
                </c:pt>
                <c:pt idx="30">
                  <c:v>-8.0000000000000107</c:v>
                </c:pt>
                <c:pt idx="31">
                  <c:v>-7.9000000000000101</c:v>
                </c:pt>
                <c:pt idx="32">
                  <c:v>-7.8000000000000096</c:v>
                </c:pt>
                <c:pt idx="33">
                  <c:v>-7.7000000000000099</c:v>
                </c:pt>
                <c:pt idx="34">
                  <c:v>-7.6000000000000103</c:v>
                </c:pt>
                <c:pt idx="35">
                  <c:v>-7.5000000000000098</c:v>
                </c:pt>
                <c:pt idx="36">
                  <c:v>-7.4000000000000101</c:v>
                </c:pt>
                <c:pt idx="37">
                  <c:v>-7.3000000000000096</c:v>
                </c:pt>
                <c:pt idx="38">
                  <c:v>-7.2000000000000099</c:v>
                </c:pt>
                <c:pt idx="39">
                  <c:v>-7.1000000000000103</c:v>
                </c:pt>
                <c:pt idx="40">
                  <c:v>-7.0000000000000098</c:v>
                </c:pt>
                <c:pt idx="41">
                  <c:v>-6.9000000000000101</c:v>
                </c:pt>
                <c:pt idx="42">
                  <c:v>-6.8000000000000096</c:v>
                </c:pt>
                <c:pt idx="43">
                  <c:v>-6.7000000000000197</c:v>
                </c:pt>
                <c:pt idx="44">
                  <c:v>-6.6000000000000201</c:v>
                </c:pt>
                <c:pt idx="45">
                  <c:v>-6.5000000000000204</c:v>
                </c:pt>
                <c:pt idx="46">
                  <c:v>-6.4000000000000199</c:v>
                </c:pt>
                <c:pt idx="47">
                  <c:v>-6.3000000000000203</c:v>
                </c:pt>
                <c:pt idx="48">
                  <c:v>-6.2000000000000197</c:v>
                </c:pt>
                <c:pt idx="49">
                  <c:v>-6.1000000000000201</c:v>
                </c:pt>
                <c:pt idx="50">
                  <c:v>-6.0000000000000204</c:v>
                </c:pt>
                <c:pt idx="51">
                  <c:v>-5.9000000000000199</c:v>
                </c:pt>
                <c:pt idx="52">
                  <c:v>-5.8000000000000203</c:v>
                </c:pt>
                <c:pt idx="53">
                  <c:v>-5.7000000000000197</c:v>
                </c:pt>
                <c:pt idx="54">
                  <c:v>-5.6000000000000201</c:v>
                </c:pt>
                <c:pt idx="55">
                  <c:v>-5.5000000000000204</c:v>
                </c:pt>
                <c:pt idx="56">
                  <c:v>-5.4000000000000199</c:v>
                </c:pt>
                <c:pt idx="57">
                  <c:v>-5.3000000000000203</c:v>
                </c:pt>
                <c:pt idx="58">
                  <c:v>-5.2000000000000197</c:v>
                </c:pt>
                <c:pt idx="59">
                  <c:v>-5.1000000000000201</c:v>
                </c:pt>
                <c:pt idx="60">
                  <c:v>-5.0000000000000204</c:v>
                </c:pt>
                <c:pt idx="61">
                  <c:v>-4.9000000000000199</c:v>
                </c:pt>
                <c:pt idx="62">
                  <c:v>-4.8000000000000203</c:v>
                </c:pt>
                <c:pt idx="63">
                  <c:v>-4.7000000000000197</c:v>
                </c:pt>
                <c:pt idx="64">
                  <c:v>-4.6000000000000201</c:v>
                </c:pt>
                <c:pt idx="65">
                  <c:v>-4.5000000000000204</c:v>
                </c:pt>
                <c:pt idx="66">
                  <c:v>-4.4000000000000199</c:v>
                </c:pt>
                <c:pt idx="67">
                  <c:v>-4.3000000000000203</c:v>
                </c:pt>
                <c:pt idx="68">
                  <c:v>-4.2000000000000197</c:v>
                </c:pt>
                <c:pt idx="69">
                  <c:v>-4.1000000000000201</c:v>
                </c:pt>
                <c:pt idx="70">
                  <c:v>-4.0000000000000204</c:v>
                </c:pt>
                <c:pt idx="71">
                  <c:v>-3.9000000000000199</c:v>
                </c:pt>
                <c:pt idx="72">
                  <c:v>-3.8000000000000198</c:v>
                </c:pt>
                <c:pt idx="73">
                  <c:v>-3.7000000000000202</c:v>
                </c:pt>
                <c:pt idx="74">
                  <c:v>-3.6000000000000201</c:v>
                </c:pt>
                <c:pt idx="75">
                  <c:v>-3.50000000000002</c:v>
                </c:pt>
                <c:pt idx="76">
                  <c:v>-3.4000000000000199</c:v>
                </c:pt>
                <c:pt idx="77">
                  <c:v>-3.3000000000000198</c:v>
                </c:pt>
                <c:pt idx="78">
                  <c:v>-3.2000000000000202</c:v>
                </c:pt>
                <c:pt idx="79">
                  <c:v>-3.1000000000000201</c:v>
                </c:pt>
                <c:pt idx="80">
                  <c:v>-3.00000000000002</c:v>
                </c:pt>
              </c:numCache>
            </c:numRef>
          </c:xVal>
          <c:yVal>
            <c:numRef>
              <c:f>Template!$T$25:$T$105</c:f>
              <c:numCache>
                <c:formatCode>0.000</c:formatCode>
                <c:ptCount val="81"/>
                <c:pt idx="0">
                  <c:v>0.21323454224748151</c:v>
                </c:pt>
                <c:pt idx="1">
                  <c:v>0.2132331194428938</c:v>
                </c:pt>
                <c:pt idx="2">
                  <c:v>0.21323152307494711</c:v>
                </c:pt>
                <c:pt idx="3">
                  <c:v>0.21322772240424515</c:v>
                </c:pt>
                <c:pt idx="4">
                  <c:v>0.21322293802733289</c:v>
                </c:pt>
                <c:pt idx="5">
                  <c:v>0.21321691546220006</c:v>
                </c:pt>
                <c:pt idx="6">
                  <c:v>0.21320933446621787</c:v>
                </c:pt>
                <c:pt idx="7">
                  <c:v>0.21319979208572323</c:v>
                </c:pt>
                <c:pt idx="8">
                  <c:v>0.21318778136147712</c:v>
                </c:pt>
                <c:pt idx="9">
                  <c:v>0.21317266459129589</c:v>
                </c:pt>
                <c:pt idx="10">
                  <c:v>0.21312969859147202</c:v>
                </c:pt>
                <c:pt idx="11">
                  <c:v>0.21309957366373417</c:v>
                </c:pt>
                <c:pt idx="12">
                  <c:v>0.2130616727679458</c:v>
                </c:pt>
                <c:pt idx="13">
                  <c:v>0.21301399658701647</c:v>
                </c:pt>
                <c:pt idx="14">
                  <c:v>0.21295403632326232</c:v>
                </c:pt>
                <c:pt idx="15">
                  <c:v>0.21287864653250821</c:v>
                </c:pt>
                <c:pt idx="16">
                  <c:v>0.21278388777067839</c:v>
                </c:pt>
                <c:pt idx="17">
                  <c:v>0.21266483279902548</c:v>
                </c:pt>
                <c:pt idx="18">
                  <c:v>0.21251532935007736</c:v>
                </c:pt>
                <c:pt idx="19">
                  <c:v>0.21232771199410228</c:v>
                </c:pt>
                <c:pt idx="20">
                  <c:v>0.21209245578010244</c:v>
                </c:pt>
                <c:pt idx="21">
                  <c:v>0.21179776556024746</c:v>
                </c:pt>
                <c:pt idx="22">
                  <c:v>0.21142909801814214</c:v>
                </c:pt>
                <c:pt idx="23">
                  <c:v>0.21096861955446489</c:v>
                </c:pt>
                <c:pt idx="24">
                  <c:v>0.21039461394656297</c:v>
                </c:pt>
                <c:pt idx="25">
                  <c:v>0.20968087120555745</c:v>
                </c:pt>
                <c:pt idx="26">
                  <c:v>0.20879611581553059</c:v>
                </c:pt>
                <c:pt idx="27">
                  <c:v>0.2077035710147099</c:v>
                </c:pt>
                <c:pt idx="28">
                  <c:v>0.20636080730276685</c:v>
                </c:pt>
                <c:pt idx="29">
                  <c:v>0.20472008605004033</c:v>
                </c:pt>
                <c:pt idx="30">
                  <c:v>0.2027294744124726</c:v>
                </c:pt>
                <c:pt idx="31">
                  <c:v>0.20033505590417716</c:v>
                </c:pt>
                <c:pt idx="32">
                  <c:v>0.19748455644985774</c:v>
                </c:pt>
                <c:pt idx="33">
                  <c:v>0.19413259706685226</c:v>
                </c:pt>
                <c:pt idx="34">
                  <c:v>0.19024751481819874</c:v>
                </c:pt>
                <c:pt idx="35">
                  <c:v>0.18581923104661946</c:v>
                </c:pt>
                <c:pt idx="36">
                  <c:v>0.18086703193709602</c:v>
                </c:pt>
                <c:pt idx="37">
                  <c:v>0.1754455278914715</c:v>
                </c:pt>
                <c:pt idx="38">
                  <c:v>0.16964677122369343</c:v>
                </c:pt>
                <c:pt idx="39">
                  <c:v>0.16359686270799811</c:v>
                </c:pt>
                <c:pt idx="40">
                  <c:v>0.15744651377463062</c:v>
                </c:pt>
                <c:pt idx="41">
                  <c:v>0.15135671159853176</c:v>
                </c:pt>
                <c:pt idx="42">
                  <c:v>0.14548221939299039</c:v>
                </c:pt>
                <c:pt idx="43">
                  <c:v>0.13995639607953608</c:v>
                </c:pt>
                <c:pt idx="44">
                  <c:v>0.13488035782530639</c:v>
                </c:pt>
                <c:pt idx="45">
                  <c:v>0.13031806427008114</c:v>
                </c:pt>
                <c:pt idx="46">
                  <c:v>0.12629718449843116</c:v>
                </c:pt>
                <c:pt idx="47">
                  <c:v>0.12281428526554783</c:v>
                </c:pt>
                <c:pt idx="48">
                  <c:v>0.11984233818574602</c:v>
                </c:pt>
                <c:pt idx="49">
                  <c:v>0.11733869794011584</c:v>
                </c:pt>
                <c:pt idx="50">
                  <c:v>0.11525225588313932</c:v>
                </c:pt>
                <c:pt idx="51">
                  <c:v>0.11352910476259363</c:v>
                </c:pt>
                <c:pt idx="52">
                  <c:v>0.11211655877789997</c:v>
                </c:pt>
                <c:pt idx="53">
                  <c:v>0.11096568986014453</c:v>
                </c:pt>
                <c:pt idx="54">
                  <c:v>0.11003268487748413</c:v>
                </c:pt>
                <c:pt idx="55">
                  <c:v>0.10927935368927244</c:v>
                </c:pt>
                <c:pt idx="56">
                  <c:v>0.10867307898506144</c:v>
                </c:pt>
                <c:pt idx="57">
                  <c:v>0.10818643540194969</c:v>
                </c:pt>
                <c:pt idx="58">
                  <c:v>0.10779664090877233</c:v>
                </c:pt>
                <c:pt idx="59">
                  <c:v>0.10748494876495512</c:v>
                </c:pt>
                <c:pt idx="60">
                  <c:v>0.10723604667089931</c:v>
                </c:pt>
                <c:pt idx="61">
                  <c:v>0.10703750025020531</c:v>
                </c:pt>
                <c:pt idx="62">
                  <c:v>0.10687925842943212</c:v>
                </c:pt>
                <c:pt idx="63">
                  <c:v>0.10675322605026256</c:v>
                </c:pt>
                <c:pt idx="64">
                  <c:v>0.10665290192943629</c:v>
                </c:pt>
                <c:pt idx="65">
                  <c:v>0.1065730768393022</c:v>
                </c:pt>
                <c:pt idx="66">
                  <c:v>0.10650958426345628</c:v>
                </c:pt>
                <c:pt idx="67">
                  <c:v>0.10645909642901341</c:v>
                </c:pt>
                <c:pt idx="68">
                  <c:v>0.10641895846597639</c:v>
                </c:pt>
                <c:pt idx="69">
                  <c:v>0.10638705423949386</c:v>
                </c:pt>
                <c:pt idx="70">
                  <c:v>0.10636169822785246</c:v>
                </c:pt>
                <c:pt idx="71">
                  <c:v>0.10634154865491503</c:v>
                </c:pt>
                <c:pt idx="72">
                  <c:v>0.10632553786539516</c:v>
                </c:pt>
                <c:pt idx="73">
                  <c:v>0.10631281662513761</c:v>
                </c:pt>
                <c:pt idx="74">
                  <c:v>0.10630270962737305</c:v>
                </c:pt>
                <c:pt idx="75">
                  <c:v>0.10629467999203031</c:v>
                </c:pt>
                <c:pt idx="76">
                  <c:v>0.10628830096662295</c:v>
                </c:pt>
                <c:pt idx="77">
                  <c:v>0.10628323338432617</c:v>
                </c:pt>
                <c:pt idx="78">
                  <c:v>0.10627920771840481</c:v>
                </c:pt>
                <c:pt idx="79">
                  <c:v>0.10627600980234807</c:v>
                </c:pt>
                <c:pt idx="80">
                  <c:v>0.1062734694710631</c:v>
                </c:pt>
              </c:numCache>
            </c:numRef>
          </c:yVal>
          <c:smooth val="0"/>
        </c:ser>
        <c:ser>
          <c:idx val="1"/>
          <c:order val="2"/>
          <c:tx>
            <c:v>Unspecific, haloperidol 0.1 mM</c:v>
          </c:tx>
          <c:spPr>
            <a:ln w="3175">
              <a:solidFill>
                <a:srgbClr val="339966"/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rgbClr val="339966"/>
                </a:solidFill>
                <a:prstDash val="sysDash"/>
              </a:ln>
            </c:spPr>
          </c:dPt>
          <c:xVal>
            <c:numRef>
              <c:f>Template!$G$42:$G$43</c:f>
              <c:numCache>
                <c:formatCode>General</c:formatCode>
                <c:ptCount val="2"/>
                <c:pt idx="0">
                  <c:v>-11</c:v>
                </c:pt>
                <c:pt idx="1">
                  <c:v>-3</c:v>
                </c:pt>
              </c:numCache>
            </c:numRef>
          </c:xVal>
          <c:yVal>
            <c:numRef>
              <c:f>Template!$H$42:$H$43</c:f>
              <c:numCache>
                <c:formatCode>0.0000</c:formatCode>
                <c:ptCount val="2"/>
                <c:pt idx="0">
                  <c:v>0.10489510489510488</c:v>
                </c:pt>
                <c:pt idx="1">
                  <c:v>0.10489510489510488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Template!$F$5:$F$5</c:f>
              <c:strCache>
                <c:ptCount val="1"/>
                <c:pt idx="0">
                  <c:v>2.65E-09</c:v>
                </c:pt>
              </c:strCache>
            </c:strRef>
          </c:tx>
          <c:spPr>
            <a:ln w="3175">
              <a:solidFill>
                <a:srgbClr val="FF00FF"/>
              </a:solidFill>
              <a:prstDash val="sysDash"/>
            </a:ln>
          </c:spPr>
          <c:marker>
            <c:symbol val="none"/>
          </c:marker>
          <c:dPt>
            <c:idx val="1"/>
            <c:bubble3D val="0"/>
            <c:spPr>
              <a:ln w="12700">
                <a:solidFill>
                  <a:srgbClr val="FF00FF"/>
                </a:solidFill>
                <a:prstDash val="sysDash"/>
              </a:ln>
            </c:spPr>
          </c:dPt>
          <c:xVal>
            <c:numRef>
              <c:f>Template!$G$42:$G$43</c:f>
              <c:numCache>
                <c:formatCode>General</c:formatCode>
                <c:ptCount val="2"/>
                <c:pt idx="0">
                  <c:v>-11</c:v>
                </c:pt>
                <c:pt idx="1">
                  <c:v>-3</c:v>
                </c:pt>
              </c:numCache>
            </c:numRef>
          </c:xVal>
          <c:yVal>
            <c:numRef>
              <c:f>Template!$I$42:$I$43</c:f>
              <c:numCache>
                <c:formatCode>0.0000</c:formatCode>
                <c:ptCount val="2"/>
                <c:pt idx="0">
                  <c:v>0.20908384544748179</c:v>
                </c:pt>
                <c:pt idx="1">
                  <c:v>0.20908384544748179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497472"/>
        <c:axId val="338493552"/>
      </c:scatterChart>
      <c:valAx>
        <c:axId val="338497472"/>
        <c:scaling>
          <c:orientation val="minMax"/>
          <c:max val="-4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[compound]</a:t>
                </a:r>
              </a:p>
            </c:rich>
          </c:tx>
          <c:layout>
            <c:manualLayout>
              <c:xMode val="edge"/>
              <c:yMode val="edge"/>
              <c:x val="0.43456506150622004"/>
              <c:y val="0.938403329321950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8493552"/>
        <c:crosses val="autoZero"/>
        <c:crossBetween val="midCat"/>
        <c:majorUnit val="1"/>
      </c:valAx>
      <c:valAx>
        <c:axId val="338493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bound [pmol per mg protein]</a:t>
                </a:r>
              </a:p>
            </c:rich>
          </c:tx>
          <c:layout>
            <c:manualLayout>
              <c:xMode val="edge"/>
              <c:yMode val="edge"/>
              <c:x val="3.3427554971617859E-3"/>
              <c:y val="0.192301758310071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38497472"/>
        <c:crossesAt val="-12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200" b="1" i="0" u="none" strike="noStrike" baseline="0">
          <a:solidFill>
            <a:sysClr val="windowText" lastClr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243840</xdr:colOff>
      <xdr:row>38</xdr:row>
      <xdr:rowOff>7620</xdr:rowOff>
    </xdr:from>
    <xdr:to>
      <xdr:col>2</xdr:col>
      <xdr:colOff>1246094</xdr:colOff>
      <xdr:row>61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2" sqref="A2"/>
    </sheetView>
  </sheetViews>
  <sheetFormatPr defaultRowHeight="13.2" x14ac:dyDescent="0.25"/>
  <sheetData>
    <row r="1" spans="1:2" x14ac:dyDescent="0.25">
      <c r="A1" s="1" t="s">
        <v>77</v>
      </c>
    </row>
    <row r="2" spans="1:2" x14ac:dyDescent="0.25">
      <c r="A2" s="15" t="s">
        <v>65</v>
      </c>
    </row>
    <row r="3" spans="1:2" x14ac:dyDescent="0.25">
      <c r="A3" s="15" t="s">
        <v>66</v>
      </c>
    </row>
    <row r="5" spans="1:2" x14ac:dyDescent="0.25">
      <c r="A5" s="1" t="s">
        <v>67</v>
      </c>
    </row>
    <row r="6" spans="1:2" x14ac:dyDescent="0.25">
      <c r="A6" s="15" t="s">
        <v>70</v>
      </c>
    </row>
    <row r="7" spans="1:2" x14ac:dyDescent="0.25">
      <c r="A7" s="15" t="s">
        <v>68</v>
      </c>
    </row>
    <row r="8" spans="1:2" x14ac:dyDescent="0.25">
      <c r="A8" s="15" t="s">
        <v>69</v>
      </c>
    </row>
    <row r="9" spans="1:2" x14ac:dyDescent="0.25">
      <c r="B9" s="47" t="s">
        <v>71</v>
      </c>
    </row>
    <row r="10" spans="1:2" x14ac:dyDescent="0.25">
      <c r="B10" s="15" t="s">
        <v>73</v>
      </c>
    </row>
    <row r="11" spans="1:2" x14ac:dyDescent="0.25">
      <c r="B11" s="15" t="s">
        <v>72</v>
      </c>
    </row>
    <row r="12" spans="1:2" x14ac:dyDescent="0.25">
      <c r="A12" s="15" t="s">
        <v>74</v>
      </c>
    </row>
    <row r="13" spans="1:2" x14ac:dyDescent="0.25">
      <c r="A13" s="15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zoomScale="85" zoomScaleNormal="85" workbookViewId="0"/>
  </sheetViews>
  <sheetFormatPr defaultRowHeight="13.2" x14ac:dyDescent="0.25"/>
  <cols>
    <col min="1" max="1" width="32" bestFit="1" customWidth="1"/>
    <col min="2" max="2" width="32.109375" bestFit="1" customWidth="1"/>
    <col min="3" max="3" width="19.5546875" customWidth="1"/>
    <col min="4" max="4" width="11.44140625" bestFit="1" customWidth="1"/>
    <col min="5" max="5" width="10" customWidth="1"/>
    <col min="6" max="6" width="9.33203125" bestFit="1" customWidth="1"/>
    <col min="7" max="7" width="9.5546875" customWidth="1"/>
    <col min="8" max="11" width="9.33203125" bestFit="1" customWidth="1"/>
    <col min="12" max="12" width="12.5546875" bestFit="1" customWidth="1"/>
    <col min="13" max="13" width="12.5546875" customWidth="1"/>
    <col min="14" max="14" width="9.33203125" bestFit="1" customWidth="1"/>
    <col min="15" max="15" width="10.77734375" customWidth="1"/>
    <col min="17" max="17" width="9.5546875" bestFit="1" customWidth="1"/>
  </cols>
  <sheetData>
    <row r="1" spans="1:19" ht="15.6" x14ac:dyDescent="0.3">
      <c r="A1" s="44" t="s">
        <v>0</v>
      </c>
      <c r="B1" s="21" t="s">
        <v>61</v>
      </c>
      <c r="D1" s="15" t="s">
        <v>76</v>
      </c>
    </row>
    <row r="2" spans="1:19" s="2" customFormat="1" x14ac:dyDescent="0.25">
      <c r="A2" s="11"/>
      <c r="E2" s="11"/>
      <c r="F2" s="11"/>
      <c r="G2" s="11"/>
      <c r="H2" s="11"/>
      <c r="I2" s="11"/>
      <c r="J2" s="11"/>
    </row>
    <row r="3" spans="1:19" x14ac:dyDescent="0.25">
      <c r="A3" t="s">
        <v>1</v>
      </c>
      <c r="B3" s="18" t="s">
        <v>36</v>
      </c>
      <c r="P3" s="19"/>
    </row>
    <row r="4" spans="1:19" x14ac:dyDescent="0.25">
      <c r="A4" t="s">
        <v>2</v>
      </c>
      <c r="B4" s="16" t="s">
        <v>37</v>
      </c>
    </row>
    <row r="5" spans="1:19" ht="52.8" x14ac:dyDescent="0.25">
      <c r="A5" t="s">
        <v>3</v>
      </c>
      <c r="B5" s="16" t="s">
        <v>38</v>
      </c>
      <c r="C5" s="20" t="s">
        <v>12</v>
      </c>
      <c r="D5" s="21">
        <v>1573000000</v>
      </c>
      <c r="E5" s="20" t="s">
        <v>6</v>
      </c>
      <c r="F5" s="22">
        <f>H12/60/D9/D5/1000</f>
        <v>2.6478067387158295E-9</v>
      </c>
      <c r="G5" s="23" t="s">
        <v>48</v>
      </c>
      <c r="H5" s="32">
        <v>285.39999999999998</v>
      </c>
      <c r="I5" s="33" t="s">
        <v>33</v>
      </c>
      <c r="J5" s="31">
        <f>H12/60/D5*1000000/D7</f>
        <v>2.6478067387158291</v>
      </c>
      <c r="K5" s="43" t="s">
        <v>56</v>
      </c>
      <c r="L5" s="31">
        <f>J25/J5*100</f>
        <v>7.896491930105376</v>
      </c>
      <c r="M5" s="43" t="s">
        <v>57</v>
      </c>
      <c r="N5" s="31">
        <f>(J25-J36)/J5*100</f>
        <v>3.934907296251835</v>
      </c>
    </row>
    <row r="6" spans="1:19" x14ac:dyDescent="0.25">
      <c r="A6" t="s">
        <v>4</v>
      </c>
      <c r="B6" s="1" t="s">
        <v>39</v>
      </c>
      <c r="C6" s="23" t="s">
        <v>6</v>
      </c>
      <c r="D6" s="24">
        <v>1E-4</v>
      </c>
    </row>
    <row r="7" spans="1:19" x14ac:dyDescent="0.25">
      <c r="A7" s="15" t="s">
        <v>40</v>
      </c>
      <c r="B7" s="1" t="s">
        <v>41</v>
      </c>
      <c r="C7" s="23" t="s">
        <v>43</v>
      </c>
      <c r="D7" s="24">
        <v>0.2</v>
      </c>
      <c r="Q7" s="10"/>
      <c r="R7" s="10"/>
      <c r="S7" s="10"/>
    </row>
    <row r="8" spans="1:19" x14ac:dyDescent="0.25">
      <c r="A8" t="s">
        <v>5</v>
      </c>
      <c r="B8" s="1" t="s">
        <v>42</v>
      </c>
      <c r="Q8" s="10"/>
      <c r="R8" s="10"/>
      <c r="S8" s="10"/>
    </row>
    <row r="9" spans="1:19" x14ac:dyDescent="0.25">
      <c r="A9" t="s">
        <v>7</v>
      </c>
      <c r="C9" s="23" t="s">
        <v>44</v>
      </c>
      <c r="D9" s="24">
        <v>0.2</v>
      </c>
      <c r="Q9" s="10"/>
      <c r="R9" s="10"/>
      <c r="S9" s="10"/>
    </row>
    <row r="10" spans="1:19" x14ac:dyDescent="0.25">
      <c r="A10" t="s">
        <v>8</v>
      </c>
      <c r="C10" s="25" t="s">
        <v>45</v>
      </c>
      <c r="D10" s="24">
        <v>20</v>
      </c>
      <c r="Q10" s="10"/>
      <c r="R10" s="10"/>
      <c r="S10" s="10"/>
    </row>
    <row r="11" spans="1:19" x14ac:dyDescent="0.25">
      <c r="A11" s="15" t="s">
        <v>46</v>
      </c>
      <c r="C11" s="26" t="s">
        <v>44</v>
      </c>
      <c r="D11" s="27">
        <v>0.01</v>
      </c>
      <c r="Q11" s="10"/>
      <c r="R11" s="10"/>
      <c r="S11" s="10"/>
    </row>
    <row r="12" spans="1:19" x14ac:dyDescent="0.25">
      <c r="A12" s="15" t="s">
        <v>47</v>
      </c>
      <c r="C12" s="25" t="s">
        <v>15</v>
      </c>
      <c r="D12" s="28">
        <v>50000</v>
      </c>
      <c r="E12" s="28">
        <v>50000</v>
      </c>
      <c r="F12" s="28">
        <v>50000</v>
      </c>
      <c r="G12" s="23" t="s">
        <v>9</v>
      </c>
      <c r="H12" s="30">
        <f>AVERAGE(D12:F12)-$D$10</f>
        <v>49980</v>
      </c>
      <c r="I12" s="23" t="s">
        <v>28</v>
      </c>
      <c r="J12" s="30">
        <f>STDEV(D12:F12)</f>
        <v>0</v>
      </c>
      <c r="K12" s="23" t="s">
        <v>11</v>
      </c>
      <c r="L12" s="31">
        <f>J12/H12*100</f>
        <v>0</v>
      </c>
      <c r="M12" s="37"/>
      <c r="Q12" s="10"/>
      <c r="R12" s="10"/>
      <c r="S12" s="10"/>
    </row>
    <row r="13" spans="1:19" x14ac:dyDescent="0.25">
      <c r="A13" s="15" t="s">
        <v>49</v>
      </c>
      <c r="C13" s="25" t="s">
        <v>50</v>
      </c>
      <c r="D13" s="29">
        <v>37</v>
      </c>
      <c r="E13" s="38"/>
      <c r="F13" s="38"/>
      <c r="G13" s="35"/>
      <c r="H13" s="36"/>
      <c r="I13" s="35"/>
      <c r="J13" s="36"/>
      <c r="K13" s="35"/>
      <c r="L13" s="37"/>
      <c r="M13" s="37"/>
      <c r="Q13" s="10"/>
      <c r="R13" s="10"/>
      <c r="S13" s="10"/>
    </row>
    <row r="14" spans="1:19" x14ac:dyDescent="0.25">
      <c r="A14" s="15" t="s">
        <v>51</v>
      </c>
      <c r="C14" s="25" t="s">
        <v>52</v>
      </c>
      <c r="D14" s="29">
        <v>60</v>
      </c>
      <c r="E14" s="38"/>
      <c r="F14" s="38"/>
      <c r="G14" s="35"/>
      <c r="H14" s="36"/>
      <c r="I14" s="35"/>
      <c r="J14" s="36"/>
      <c r="K14" s="35"/>
      <c r="L14" s="37"/>
      <c r="M14" s="37"/>
      <c r="Q14" s="10"/>
      <c r="R14" s="10"/>
      <c r="S14" s="10"/>
    </row>
    <row r="15" spans="1:19" x14ac:dyDescent="0.25">
      <c r="A15" t="s">
        <v>17</v>
      </c>
      <c r="B15" t="s">
        <v>34</v>
      </c>
      <c r="Q15" s="10"/>
      <c r="R15" s="10"/>
      <c r="S15" s="10"/>
    </row>
    <row r="16" spans="1:19" x14ac:dyDescent="0.25">
      <c r="Q16" s="10"/>
      <c r="R16" s="10"/>
      <c r="S16" s="10"/>
    </row>
    <row r="17" spans="1:23" x14ac:dyDescent="0.25">
      <c r="B17" s="1" t="s">
        <v>19</v>
      </c>
      <c r="C17" s="1" t="s">
        <v>20</v>
      </c>
      <c r="Q17" s="10"/>
      <c r="R17" s="10"/>
      <c r="S17" s="10"/>
    </row>
    <row r="18" spans="1:23" x14ac:dyDescent="0.25">
      <c r="A18" s="56" t="s">
        <v>54</v>
      </c>
      <c r="B18" s="57">
        <v>0.21324620424268712</v>
      </c>
      <c r="C18" s="39">
        <f>B18-J36</f>
        <v>0.10835109934758223</v>
      </c>
      <c r="D18" s="15" t="s">
        <v>31</v>
      </c>
      <c r="E18" s="8">
        <f>F5</f>
        <v>2.6478067387158295E-9</v>
      </c>
      <c r="F18" t="s">
        <v>32</v>
      </c>
      <c r="Q18" s="10"/>
      <c r="R18" s="10"/>
      <c r="S18" s="10"/>
    </row>
    <row r="19" spans="1:23" x14ac:dyDescent="0.25">
      <c r="A19" s="58" t="s">
        <v>53</v>
      </c>
      <c r="B19" s="59">
        <v>0.10626365728377976</v>
      </c>
      <c r="C19" s="12">
        <f>B19-J36</f>
        <v>1.3685523886748791E-3</v>
      </c>
      <c r="G19" s="23" t="s">
        <v>58</v>
      </c>
      <c r="H19" s="24">
        <v>27.3</v>
      </c>
      <c r="Q19" s="10"/>
      <c r="R19" s="10"/>
      <c r="S19" s="10"/>
    </row>
    <row r="20" spans="1:23" ht="13.8" thickBot="1" x14ac:dyDescent="0.3">
      <c r="A20" s="58" t="s">
        <v>21</v>
      </c>
      <c r="B20" s="60">
        <v>9.1726058086558884E-2</v>
      </c>
    </row>
    <row r="21" spans="1:23" ht="13.8" thickBot="1" x14ac:dyDescent="0.3">
      <c r="A21" s="61" t="s">
        <v>22</v>
      </c>
      <c r="B21" s="62">
        <f>B20/1000000</f>
        <v>9.1726058086558888E-8</v>
      </c>
      <c r="C21" s="63">
        <f>B21*1000000000</f>
        <v>91.726058086558893</v>
      </c>
      <c r="D21" s="64" t="s">
        <v>35</v>
      </c>
      <c r="G21" s="40" t="s">
        <v>59</v>
      </c>
      <c r="H21" s="41">
        <f>C21/(1+F5*1000000000/H19)</f>
        <v>83.616186240636708</v>
      </c>
    </row>
    <row r="22" spans="1:23" x14ac:dyDescent="0.25">
      <c r="A22" s="15" t="s">
        <v>55</v>
      </c>
      <c r="B22" s="8">
        <f>SUM(Q26:Q35)</f>
        <v>1.7863989608993982E-4</v>
      </c>
    </row>
    <row r="23" spans="1:23" x14ac:dyDescent="0.25">
      <c r="L23" s="15" t="s">
        <v>63</v>
      </c>
      <c r="S23" s="1" t="s">
        <v>25</v>
      </c>
    </row>
    <row r="24" spans="1:23" s="2" customFormat="1" ht="53.4" thickBot="1" x14ac:dyDescent="0.3">
      <c r="A24" s="11"/>
      <c r="B24" s="11" t="s">
        <v>13</v>
      </c>
      <c r="C24" s="11" t="s">
        <v>16</v>
      </c>
      <c r="D24" s="11" t="s">
        <v>15</v>
      </c>
      <c r="E24" s="11"/>
      <c r="F24" s="11"/>
      <c r="G24" s="11" t="s">
        <v>9</v>
      </c>
      <c r="H24" s="11" t="s">
        <v>10</v>
      </c>
      <c r="I24" s="11" t="s">
        <v>11</v>
      </c>
      <c r="J24" s="11" t="s">
        <v>62</v>
      </c>
      <c r="K24" s="11" t="s">
        <v>28</v>
      </c>
      <c r="L24" s="45" t="s">
        <v>64</v>
      </c>
      <c r="M24" s="45" t="s">
        <v>64</v>
      </c>
      <c r="N24" s="45" t="s">
        <v>64</v>
      </c>
      <c r="O24" s="11" t="s">
        <v>18</v>
      </c>
      <c r="P24" s="11" t="s">
        <v>24</v>
      </c>
      <c r="Q24" s="11" t="s">
        <v>60</v>
      </c>
      <c r="R24" s="11"/>
      <c r="S24" s="11" t="s">
        <v>26</v>
      </c>
      <c r="T24" s="2" t="s">
        <v>27</v>
      </c>
      <c r="U24" s="11"/>
      <c r="V24" s="11"/>
      <c r="W24" s="11"/>
    </row>
    <row r="25" spans="1:23" ht="14.4" thickTop="1" thickBot="1" x14ac:dyDescent="0.3">
      <c r="A25" s="1" t="s">
        <v>29</v>
      </c>
      <c r="B25" s="10">
        <v>0</v>
      </c>
      <c r="C25" s="5"/>
      <c r="D25" s="48">
        <v>4000</v>
      </c>
      <c r="E25" s="49">
        <v>3800</v>
      </c>
      <c r="F25" s="50">
        <v>4100</v>
      </c>
      <c r="G25" s="4">
        <f>AVERAGE(D25:F25)-$D$10</f>
        <v>3946.6666666666665</v>
      </c>
      <c r="H25" s="4">
        <f>STDEV(D25:F25)</f>
        <v>152.75252316519467</v>
      </c>
      <c r="I25" s="3">
        <f>H25/G25*100</f>
        <v>3.8704186612802705</v>
      </c>
      <c r="J25" s="46">
        <f>G25/60/$D$5*1000000/$D$7</f>
        <v>0.20908384544748179</v>
      </c>
      <c r="K25" s="13">
        <f>I25/100*J25</f>
        <v>8.092420171921735E-3</v>
      </c>
      <c r="L25" s="13">
        <f>D25/60/$D$5*1000000/$D$7</f>
        <v>0.21190930281839374</v>
      </c>
      <c r="M25" s="13">
        <f>E25/60/$D$5*1000000/$D$7</f>
        <v>0.20131383767747402</v>
      </c>
      <c r="N25" s="13">
        <f>F25/60/$D$5*1000000/$D$7</f>
        <v>0.21720703538885355</v>
      </c>
      <c r="O25">
        <f>B25*1000000</f>
        <v>0</v>
      </c>
      <c r="P25" s="7"/>
      <c r="S25" s="3">
        <v>-11</v>
      </c>
      <c r="T25" s="7">
        <f>$B$19+(($B$18-$B$19)/(1+10^(S25)/($B$20/1000000)))</f>
        <v>0.21323454224748151</v>
      </c>
    </row>
    <row r="26" spans="1:23" ht="13.8" thickTop="1" x14ac:dyDescent="0.25">
      <c r="A26" s="1"/>
      <c r="B26" s="8">
        <v>1.0000000000000001E-9</v>
      </c>
      <c r="C26" s="5">
        <f t="shared" ref="C26:C35" si="0">LOG(B26)</f>
        <v>-9</v>
      </c>
      <c r="D26" s="51">
        <v>4000</v>
      </c>
      <c r="E26" s="34">
        <v>4000</v>
      </c>
      <c r="F26" s="52">
        <v>4000</v>
      </c>
      <c r="G26" s="4">
        <f>AVERAGE(D26:F26)-$D$10</f>
        <v>3980</v>
      </c>
      <c r="H26" s="4">
        <f>STDEV(D26:F26)</f>
        <v>0</v>
      </c>
      <c r="I26" s="3">
        <f>H26/G26*100</f>
        <v>0</v>
      </c>
      <c r="J26" s="6">
        <f>G26/60/$D$5*1000000/$D$7</f>
        <v>0.21084975630430172</v>
      </c>
      <c r="K26" s="13">
        <f>I26/100*J26</f>
        <v>0</v>
      </c>
      <c r="L26" s="13">
        <f>D26/60/$D$5*1000000/$D$7</f>
        <v>0.21190930281839374</v>
      </c>
      <c r="M26" s="13">
        <f>E26/60/$D$5*1000000/$D$7</f>
        <v>0.21190930281839374</v>
      </c>
      <c r="N26" s="13">
        <f>F26/60/$D$5*1000000/$D$7</f>
        <v>0.21190930281839374</v>
      </c>
      <c r="O26">
        <f>B26*1000000</f>
        <v>1E-3</v>
      </c>
      <c r="P26" s="7">
        <f>$B$19+(($B$18-$B$19)/(1+O26/$B$20))</f>
        <v>0.21209245578010241</v>
      </c>
      <c r="Q26" s="8">
        <f>IF(D26&gt;0,(P26-L26)^2,0)+IF(E26&gt;0,(P26-M26)^2,0)+IF(F26&gt;0,(P26-N26)^2,0)</f>
        <v>1.0063502214798019E-7</v>
      </c>
      <c r="S26" s="3">
        <v>-10.95</v>
      </c>
      <c r="T26" s="7">
        <f>$B$19+(($B$18-$B$19)/(1+10^(S26)/($B$20/1000000)))</f>
        <v>0.2132331194428938</v>
      </c>
    </row>
    <row r="27" spans="1:23" x14ac:dyDescent="0.25">
      <c r="B27" s="8">
        <v>3E-9</v>
      </c>
      <c r="C27" s="5">
        <f t="shared" si="0"/>
        <v>-8.5228787452803374</v>
      </c>
      <c r="D27" s="51">
        <v>4000</v>
      </c>
      <c r="E27" s="34">
        <v>4000</v>
      </c>
      <c r="F27" s="52">
        <v>4000</v>
      </c>
      <c r="G27" s="4">
        <f>AVERAGE(D27:F27)-$D$10</f>
        <v>3980</v>
      </c>
      <c r="H27" s="4">
        <f t="shared" ref="H27:H36" si="1">STDEV(D27:F27)</f>
        <v>0</v>
      </c>
      <c r="I27" s="3">
        <f t="shared" ref="I27:I36" si="2">H27/G27*100</f>
        <v>0</v>
      </c>
      <c r="J27" s="6">
        <f>G27/60/$D$5*1000000/$D$7</f>
        <v>0.21084975630430172</v>
      </c>
      <c r="K27" s="13">
        <f>I27/100*J27</f>
        <v>0</v>
      </c>
      <c r="L27" s="13">
        <f>D27/60/$D$5*1000000/$D$7</f>
        <v>0.21190930281839374</v>
      </c>
      <c r="M27" s="13">
        <f>E27/60/$D$5*1000000/$D$7</f>
        <v>0.21190930281839374</v>
      </c>
      <c r="N27" s="13">
        <f>F27/60/$D$5*1000000/$D$7</f>
        <v>0.21190930281839374</v>
      </c>
      <c r="O27">
        <f>B27*1000000</f>
        <v>3.0000000000000001E-3</v>
      </c>
      <c r="P27" s="7">
        <f>$B$19+(($B$18-$B$19)/(1+O27/$B$20))</f>
        <v>0.20985803790958113</v>
      </c>
      <c r="Q27" s="8">
        <f t="shared" ref="Q27:Q35" si="3">IF(D27&gt;0,(P27-L27)^2,0)+IF(E27&gt;0,(P27-M27)^2,0)+IF(F27&gt;0,(P27-N27)^2,0)</f>
        <v>1.2623063178377961E-5</v>
      </c>
      <c r="S27" s="3">
        <v>-10.9</v>
      </c>
      <c r="T27" s="7">
        <f>$B$19+(($B$18-$B$19)/(1+10^(S27)/($B$20/1000000)))</f>
        <v>0.21323152307494711</v>
      </c>
    </row>
    <row r="28" spans="1:23" x14ac:dyDescent="0.25">
      <c r="B28" s="8">
        <v>1E-8</v>
      </c>
      <c r="C28" s="5">
        <f t="shared" si="0"/>
        <v>-8</v>
      </c>
      <c r="D28" s="51">
        <v>3800</v>
      </c>
      <c r="E28" s="34">
        <v>3800</v>
      </c>
      <c r="F28" s="52">
        <v>3800</v>
      </c>
      <c r="G28" s="4">
        <f>AVERAGE(D28:F28)-$D$10</f>
        <v>3780</v>
      </c>
      <c r="H28" s="4">
        <f t="shared" si="1"/>
        <v>0</v>
      </c>
      <c r="I28" s="3">
        <f t="shared" si="2"/>
        <v>0</v>
      </c>
      <c r="J28" s="6">
        <f>G28/60/$D$5*1000000/$D$7</f>
        <v>0.20025429116338206</v>
      </c>
      <c r="K28" s="13">
        <f>I28/100*J28</f>
        <v>0</v>
      </c>
      <c r="L28" s="13">
        <f>D28/60/$D$5*1000000/$D$7</f>
        <v>0.20131383767747402</v>
      </c>
      <c r="M28" s="13">
        <f>E28/60/$D$5*1000000/$D$7</f>
        <v>0.20131383767747402</v>
      </c>
      <c r="N28" s="13">
        <f>F28/60/$D$5*1000000/$D$7</f>
        <v>0.20131383767747402</v>
      </c>
      <c r="O28">
        <f>B28*1000000</f>
        <v>0.01</v>
      </c>
      <c r="P28" s="7">
        <f>$B$19+(($B$18-$B$19)/(1+O28/$B$20))</f>
        <v>0.20272947441247235</v>
      </c>
      <c r="Q28" s="8">
        <f t="shared" si="3"/>
        <v>6.0120820964302629E-6</v>
      </c>
      <c r="S28" s="3">
        <v>-10.8</v>
      </c>
      <c r="T28" s="7">
        <f>$B$19+(($B$18-$B$19)/(1+10^(S28)/($B$20/1000000)))</f>
        <v>0.21322772240424515</v>
      </c>
    </row>
    <row r="29" spans="1:23" x14ac:dyDescent="0.25">
      <c r="B29" s="8">
        <v>2.9999999999999997E-8</v>
      </c>
      <c r="C29" s="5">
        <f t="shared" si="0"/>
        <v>-7.5228787452803374</v>
      </c>
      <c r="D29" s="51">
        <v>3500</v>
      </c>
      <c r="E29" s="34">
        <v>3500</v>
      </c>
      <c r="F29" s="52">
        <v>3500</v>
      </c>
      <c r="G29" s="4">
        <f>AVERAGE(D29:F29)-$D$10</f>
        <v>3480</v>
      </c>
      <c r="H29" s="4">
        <f t="shared" si="1"/>
        <v>0</v>
      </c>
      <c r="I29" s="3">
        <f t="shared" si="2"/>
        <v>0</v>
      </c>
      <c r="J29" s="6">
        <f>G29/60/$D$5*1000000/$D$7</f>
        <v>0.18436109345200252</v>
      </c>
      <c r="K29" s="13">
        <f>I29/100*J29</f>
        <v>0</v>
      </c>
      <c r="L29" s="13">
        <f>D29/60/$D$5*1000000/$D$7</f>
        <v>0.18542063996609451</v>
      </c>
      <c r="M29" s="13">
        <f>E29/60/$D$5*1000000/$D$7</f>
        <v>0.18542063996609451</v>
      </c>
      <c r="N29" s="13">
        <f>F29/60/$D$5*1000000/$D$7</f>
        <v>0.18542063996609451</v>
      </c>
      <c r="O29">
        <f>B29*1000000</f>
        <v>0.03</v>
      </c>
      <c r="P29" s="7">
        <f>$B$19+(($B$18-$B$19)/(1+O29/$B$20))</f>
        <v>0.18687981680504434</v>
      </c>
      <c r="Q29" s="8">
        <f t="shared" si="3"/>
        <v>6.3875911419828788E-6</v>
      </c>
      <c r="S29" s="3">
        <v>-10.7</v>
      </c>
      <c r="T29" s="7">
        <f>$B$19+(($B$18-$B$19)/(1+10^(S29)/($B$20/1000000)))</f>
        <v>0.21322293802733289</v>
      </c>
    </row>
    <row r="30" spans="1:23" x14ac:dyDescent="0.25">
      <c r="B30" s="8">
        <v>9.9999999999999995E-8</v>
      </c>
      <c r="C30" s="5">
        <f t="shared" si="0"/>
        <v>-7</v>
      </c>
      <c r="D30" s="51">
        <v>3000</v>
      </c>
      <c r="E30" s="34">
        <v>2800</v>
      </c>
      <c r="F30" s="52">
        <v>3000</v>
      </c>
      <c r="G30" s="4">
        <f>AVERAGE(D30:F30)-$D$10</f>
        <v>2913.3333333333335</v>
      </c>
      <c r="H30" s="4">
        <f t="shared" si="1"/>
        <v>115.47005383792515</v>
      </c>
      <c r="I30" s="3">
        <f t="shared" si="2"/>
        <v>3.9635029921484608</v>
      </c>
      <c r="J30" s="6">
        <f>G30/60/$D$5*1000000/$D$7</f>
        <v>0.15434060888606344</v>
      </c>
      <c r="K30" s="13">
        <f>I30/100*J30</f>
        <v>6.1172946512992772E-3</v>
      </c>
      <c r="L30" s="13">
        <f>D30/60/$D$5*1000000/$D$7</f>
        <v>0.15893197711379528</v>
      </c>
      <c r="M30" s="13">
        <f>E30/60/$D$5*1000000/$D$7</f>
        <v>0.14833651197287559</v>
      </c>
      <c r="N30" s="13">
        <f>F30/60/$D$5*1000000/$D$7</f>
        <v>0.15893197711379528</v>
      </c>
      <c r="O30">
        <f>B30*1000000</f>
        <v>9.9999999999999992E-2</v>
      </c>
      <c r="P30" s="7">
        <f>$B$19+(($B$18-$B$19)/(1+O30/$B$20))</f>
        <v>0.15744651377462993</v>
      </c>
      <c r="Q30" s="8">
        <f t="shared" si="3"/>
        <v>8.7405335491975828E-5</v>
      </c>
      <c r="S30" s="3">
        <v>-10.6</v>
      </c>
      <c r="T30" s="7">
        <f>$B$19+(($B$18-$B$19)/(1+10^(S30)/($B$20/1000000)))</f>
        <v>0.21321691546220006</v>
      </c>
    </row>
    <row r="31" spans="1:23" x14ac:dyDescent="0.25">
      <c r="B31" s="8">
        <v>9.9999999999999995E-7</v>
      </c>
      <c r="C31" s="5">
        <f t="shared" si="0"/>
        <v>-6</v>
      </c>
      <c r="D31" s="51">
        <v>2300</v>
      </c>
      <c r="E31" s="34">
        <v>2200</v>
      </c>
      <c r="F31" s="52">
        <v>2100</v>
      </c>
      <c r="G31" s="4">
        <f>AVERAGE(D31:F31)-$D$10</f>
        <v>2180</v>
      </c>
      <c r="H31" s="4">
        <f t="shared" si="1"/>
        <v>100</v>
      </c>
      <c r="I31" s="3">
        <f t="shared" si="2"/>
        <v>4.5871559633027523</v>
      </c>
      <c r="J31" s="6">
        <f>G31/60/$D$5*1000000/$D$7</f>
        <v>0.11549057003602457</v>
      </c>
      <c r="K31" s="13">
        <f>I31/100*J31</f>
        <v>5.2977325704598429E-3</v>
      </c>
      <c r="L31" s="13">
        <f>D31/60/$D$5*1000000/$D$7</f>
        <v>0.12184784912057639</v>
      </c>
      <c r="M31" s="13">
        <f>E31/60/$D$5*1000000/$D$7</f>
        <v>0.11655011655011653</v>
      </c>
      <c r="N31" s="13">
        <f>F31/60/$D$5*1000000/$D$7</f>
        <v>0.1112523839796567</v>
      </c>
      <c r="O31">
        <f>B31*1000000</f>
        <v>1</v>
      </c>
      <c r="P31" s="7">
        <f>$B$19+(($B$18-$B$19)/(1+O31/$B$20))</f>
        <v>0.11525225588313893</v>
      </c>
      <c r="Q31" s="8">
        <f t="shared" si="3"/>
        <v>6.1185267708884823E-5</v>
      </c>
      <c r="S31" s="3">
        <v>-10.5</v>
      </c>
      <c r="T31" s="7">
        <f>$B$19+(($B$18-$B$19)/(1+10^(S31)/($B$20/1000000)))</f>
        <v>0.21320933446621787</v>
      </c>
    </row>
    <row r="32" spans="1:23" x14ac:dyDescent="0.25">
      <c r="B32" s="8">
        <v>1.0000000000000001E-5</v>
      </c>
      <c r="C32" s="5">
        <f t="shared" si="0"/>
        <v>-5</v>
      </c>
      <c r="D32" s="51">
        <v>2000</v>
      </c>
      <c r="E32" s="34">
        <v>2000</v>
      </c>
      <c r="F32" s="52">
        <v>2000</v>
      </c>
      <c r="G32" s="4">
        <f>AVERAGE(D32:F32)-$D$10</f>
        <v>1980</v>
      </c>
      <c r="H32" s="4">
        <f t="shared" si="1"/>
        <v>0</v>
      </c>
      <c r="I32" s="3">
        <f t="shared" si="2"/>
        <v>0</v>
      </c>
      <c r="J32" s="6">
        <f>G32/60/$D$5*1000000/$D$7</f>
        <v>0.10489510489510488</v>
      </c>
      <c r="K32" s="13">
        <f>I32/100*J32</f>
        <v>0</v>
      </c>
      <c r="L32" s="13">
        <f>D32/60/$D$5*1000000/$D$7</f>
        <v>0.10595465140919687</v>
      </c>
      <c r="M32" s="13">
        <f>E32/60/$D$5*1000000/$D$7</f>
        <v>0.10595465140919687</v>
      </c>
      <c r="N32" s="13">
        <f>F32/60/$D$5*1000000/$D$7</f>
        <v>0.10595465140919687</v>
      </c>
      <c r="O32">
        <f>B32*1000000</f>
        <v>10</v>
      </c>
      <c r="P32" s="7">
        <f>$B$19+(($B$18-$B$19)/(1+O32/$B$20))</f>
        <v>0.10723604667089927</v>
      </c>
      <c r="Q32" s="8">
        <f t="shared" si="3"/>
        <v>4.9259214501400902E-6</v>
      </c>
      <c r="S32" s="3">
        <v>-10.4</v>
      </c>
      <c r="T32" s="7">
        <f>$B$19+(($B$18-$B$19)/(1+10^(S32)/($B$20/1000000)))</f>
        <v>0.21319979208572323</v>
      </c>
    </row>
    <row r="33" spans="1:20" x14ac:dyDescent="0.25">
      <c r="B33" s="8"/>
      <c r="C33" s="5" t="e">
        <f t="shared" si="0"/>
        <v>#NUM!</v>
      </c>
      <c r="D33" s="51"/>
      <c r="E33" s="34"/>
      <c r="F33" s="52"/>
      <c r="G33" s="4" t="e">
        <f>AVERAGE(D33:F33)-$D$10</f>
        <v>#DIV/0!</v>
      </c>
      <c r="H33" s="4" t="e">
        <f t="shared" si="1"/>
        <v>#DIV/0!</v>
      </c>
      <c r="I33" s="3" t="e">
        <f t="shared" si="2"/>
        <v>#DIV/0!</v>
      </c>
      <c r="J33" s="6" t="e">
        <f>G33/60/$D$5*1000000/$D$7</f>
        <v>#DIV/0!</v>
      </c>
      <c r="K33" s="13" t="e">
        <f>I33/100*J33</f>
        <v>#DIV/0!</v>
      </c>
      <c r="L33" s="13">
        <f>D33/60/$D$5*1000000/$D$7</f>
        <v>0</v>
      </c>
      <c r="M33" s="13">
        <f>E33/60/$D$5*1000000/$D$7</f>
        <v>0</v>
      </c>
      <c r="N33" s="13">
        <f>F33/60/$D$5*1000000/$D$7</f>
        <v>0</v>
      </c>
      <c r="O33">
        <f>B33*1000000</f>
        <v>0</v>
      </c>
      <c r="P33" s="7">
        <f>$B$19+(($B$18-$B$19)/(1+O33/$B$20))</f>
        <v>0.21324620424268712</v>
      </c>
      <c r="Q33" s="8">
        <f t="shared" si="3"/>
        <v>0</v>
      </c>
      <c r="S33" s="3">
        <v>-10.3</v>
      </c>
      <c r="T33" s="7">
        <f>$B$19+(($B$18-$B$19)/(1+10^(S33)/($B$20/1000000)))</f>
        <v>0.21318778136147712</v>
      </c>
    </row>
    <row r="34" spans="1:20" x14ac:dyDescent="0.25">
      <c r="B34" s="8"/>
      <c r="C34" s="5" t="e">
        <f t="shared" si="0"/>
        <v>#NUM!</v>
      </c>
      <c r="D34" s="51"/>
      <c r="E34" s="34"/>
      <c r="F34" s="52"/>
      <c r="G34" s="4" t="e">
        <f>AVERAGE(D34:F34)-$D$10</f>
        <v>#DIV/0!</v>
      </c>
      <c r="H34" s="4" t="e">
        <f t="shared" si="1"/>
        <v>#DIV/0!</v>
      </c>
      <c r="I34" s="3" t="e">
        <f t="shared" si="2"/>
        <v>#DIV/0!</v>
      </c>
      <c r="J34" s="6" t="e">
        <f>G34/60/$D$5*1000000/$D$7</f>
        <v>#DIV/0!</v>
      </c>
      <c r="K34" s="13" t="e">
        <f>I34/100*J34</f>
        <v>#DIV/0!</v>
      </c>
      <c r="L34" s="13">
        <f>D34/60/$D$5*1000000/$D$7</f>
        <v>0</v>
      </c>
      <c r="M34" s="13">
        <f>E34/60/$D$5*1000000/$D$7</f>
        <v>0</v>
      </c>
      <c r="N34" s="13">
        <f>F34/60/$D$5*1000000/$D$7</f>
        <v>0</v>
      </c>
      <c r="O34">
        <f>B34*1000000</f>
        <v>0</v>
      </c>
      <c r="P34" s="7">
        <f>$B$19+(($B$18-$B$19)/(1+O34/$B$20))</f>
        <v>0.21324620424268712</v>
      </c>
      <c r="Q34" s="8">
        <f t="shared" si="3"/>
        <v>0</v>
      </c>
      <c r="S34" s="3">
        <v>-10.199999999999999</v>
      </c>
      <c r="T34" s="7">
        <f>$B$19+(($B$18-$B$19)/(1+10^(S34)/($B$20/1000000)))</f>
        <v>0.21317266459129589</v>
      </c>
    </row>
    <row r="35" spans="1:20" ht="13.8" thickBot="1" x14ac:dyDescent="0.3">
      <c r="C35" s="5" t="e">
        <f t="shared" si="0"/>
        <v>#NUM!</v>
      </c>
      <c r="D35" s="51"/>
      <c r="E35" s="34"/>
      <c r="F35" s="52"/>
      <c r="G35" s="4" t="e">
        <f>AVERAGE(D35:F35)-$D$10</f>
        <v>#DIV/0!</v>
      </c>
      <c r="H35" s="4" t="e">
        <f t="shared" si="1"/>
        <v>#DIV/0!</v>
      </c>
      <c r="I35" s="3" t="e">
        <f t="shared" si="2"/>
        <v>#DIV/0!</v>
      </c>
      <c r="J35" s="6" t="e">
        <f>G35/60/$D$5*1000000/$D$7</f>
        <v>#DIV/0!</v>
      </c>
      <c r="K35" s="13" t="e">
        <f>I35/100*J35</f>
        <v>#DIV/0!</v>
      </c>
      <c r="L35" s="13">
        <f>D35/60/$D$5*1000000/$D$7</f>
        <v>0</v>
      </c>
      <c r="M35" s="13">
        <f>E35/60/$D$5*1000000/$D$7</f>
        <v>0</v>
      </c>
      <c r="N35" s="13">
        <f>F35/60/$D$5*1000000/$D$7</f>
        <v>0</v>
      </c>
      <c r="O35">
        <f>B35*1000000</f>
        <v>0</v>
      </c>
      <c r="P35" s="7">
        <f>$B$19+(($B$18-$B$19)/(1+O35/$B$20))</f>
        <v>0.21324620424268712</v>
      </c>
      <c r="Q35" s="8">
        <f t="shared" si="3"/>
        <v>0</v>
      </c>
      <c r="S35" s="3">
        <v>-10</v>
      </c>
      <c r="T35" s="7">
        <f>$B$19+(($B$18-$B$19)/(1+10^(S35)/($B$20/1000000)))</f>
        <v>0.21312969859147202</v>
      </c>
    </row>
    <row r="36" spans="1:20" ht="14.4" thickTop="1" thickBot="1" x14ac:dyDescent="0.3">
      <c r="A36" s="1" t="s">
        <v>14</v>
      </c>
      <c r="B36" s="9">
        <v>0</v>
      </c>
      <c r="C36" s="5"/>
      <c r="D36" s="53">
        <v>2000</v>
      </c>
      <c r="E36" s="54">
        <v>2000</v>
      </c>
      <c r="F36" s="55">
        <v>2000</v>
      </c>
      <c r="G36" s="4">
        <f>AVERAGE(D36:F36)-$D$10</f>
        <v>1980</v>
      </c>
      <c r="H36" s="4">
        <f t="shared" si="1"/>
        <v>0</v>
      </c>
      <c r="I36" s="3">
        <f t="shared" si="2"/>
        <v>0</v>
      </c>
      <c r="J36" s="17">
        <f>G36/60/$D$5*1000000/$D$7</f>
        <v>0.10489510489510488</v>
      </c>
      <c r="K36" s="13">
        <f>I36/100*J36</f>
        <v>0</v>
      </c>
      <c r="L36" s="13">
        <f>D36/60/$D$5*1000000/$D$7</f>
        <v>0.10595465140919687</v>
      </c>
      <c r="M36" s="13">
        <f>E36/60/$D$5*1000000/$D$7</f>
        <v>0.10595465140919687</v>
      </c>
      <c r="N36" s="13">
        <f>F36/60/$D$5*1000000/$D$7</f>
        <v>0.10595465140919687</v>
      </c>
      <c r="O36">
        <f>B36*1000000</f>
        <v>0</v>
      </c>
      <c r="P36" s="7"/>
      <c r="S36" s="3">
        <v>-9.9</v>
      </c>
      <c r="T36" s="7">
        <f>$B$19+(($B$18-$B$19)/(1+10^(S36)/($B$20/1000000)))</f>
        <v>0.21309957366373417</v>
      </c>
    </row>
    <row r="37" spans="1:20" ht="13.8" thickTop="1" x14ac:dyDescent="0.25">
      <c r="S37" s="3">
        <v>-9.8000000000000007</v>
      </c>
      <c r="T37" s="7">
        <f>$B$19+(($B$18-$B$19)/(1+10^(S37)/($B$20/1000000)))</f>
        <v>0.2130616727679458</v>
      </c>
    </row>
    <row r="38" spans="1:20" x14ac:dyDescent="0.25">
      <c r="J38" s="42">
        <f>J36/J25*100</f>
        <v>50.168918918918912</v>
      </c>
      <c r="K38" s="14" t="s">
        <v>23</v>
      </c>
      <c r="S38" s="3">
        <v>-9.6999999999999993</v>
      </c>
      <c r="T38" s="7">
        <f>$B$19+(($B$18-$B$19)/(1+10^(S38)/($B$20/1000000)))</f>
        <v>0.21301399658701647</v>
      </c>
    </row>
    <row r="39" spans="1:20" x14ac:dyDescent="0.25">
      <c r="S39" s="3">
        <v>-9.6</v>
      </c>
      <c r="T39" s="7">
        <f>$B$19+(($B$18-$B$19)/(1+10^(S39)/($B$20/1000000)))</f>
        <v>0.21295403632326232</v>
      </c>
    </row>
    <row r="40" spans="1:20" x14ac:dyDescent="0.25">
      <c r="S40" s="3">
        <v>-9.5000000000000107</v>
      </c>
      <c r="T40" s="7">
        <f>$B$19+(($B$18-$B$19)/(1+10^(S40)/($B$20/1000000)))</f>
        <v>0.21287864653250821</v>
      </c>
    </row>
    <row r="41" spans="1:20" x14ac:dyDescent="0.25">
      <c r="G41" t="s">
        <v>30</v>
      </c>
      <c r="S41" s="3">
        <v>-9.4000000000000092</v>
      </c>
      <c r="T41" s="7">
        <f>$B$19+(($B$18-$B$19)/(1+10^(S41)/($B$20/1000000)))</f>
        <v>0.21278388777067839</v>
      </c>
    </row>
    <row r="42" spans="1:20" x14ac:dyDescent="0.25">
      <c r="G42">
        <v>-11</v>
      </c>
      <c r="H42" s="6">
        <f>J36</f>
        <v>0.10489510489510488</v>
      </c>
      <c r="I42" s="6">
        <f>J25</f>
        <v>0.20908384544748179</v>
      </c>
      <c r="S42" s="3">
        <v>-9.3000000000000096</v>
      </c>
      <c r="T42" s="7">
        <f>$B$19+(($B$18-$B$19)/(1+10^(S42)/($B$20/1000000)))</f>
        <v>0.21266483279902548</v>
      </c>
    </row>
    <row r="43" spans="1:20" x14ac:dyDescent="0.25">
      <c r="G43">
        <v>-3</v>
      </c>
      <c r="H43" s="6">
        <f>J36</f>
        <v>0.10489510489510488</v>
      </c>
      <c r="I43" s="6">
        <f>J25</f>
        <v>0.20908384544748179</v>
      </c>
      <c r="S43" s="3">
        <v>-9.2000000000000099</v>
      </c>
      <c r="T43" s="7">
        <f>$B$19+(($B$18-$B$19)/(1+10^(S43)/($B$20/1000000)))</f>
        <v>0.21251532935007736</v>
      </c>
    </row>
    <row r="44" spans="1:20" x14ac:dyDescent="0.25">
      <c r="S44" s="3">
        <v>-9.1000000000000103</v>
      </c>
      <c r="T44" s="7">
        <f>$B$19+(($B$18-$B$19)/(1+10^(S44)/($B$20/1000000)))</f>
        <v>0.21232771199410228</v>
      </c>
    </row>
    <row r="45" spans="1:20" x14ac:dyDescent="0.25">
      <c r="S45" s="3">
        <v>-9.0000000000000107</v>
      </c>
      <c r="T45" s="7">
        <f>$B$19+(($B$18-$B$19)/(1+10^(S45)/($B$20/1000000)))</f>
        <v>0.21209245578010244</v>
      </c>
    </row>
    <row r="46" spans="1:20" x14ac:dyDescent="0.25">
      <c r="S46" s="3">
        <v>-8.9000000000000092</v>
      </c>
      <c r="T46" s="7">
        <f>$B$19+(($B$18-$B$19)/(1+10^(S46)/($B$20/1000000)))</f>
        <v>0.21179776556024746</v>
      </c>
    </row>
    <row r="47" spans="1:20" x14ac:dyDescent="0.25">
      <c r="S47" s="3">
        <v>-8.8000000000000096</v>
      </c>
      <c r="T47" s="7">
        <f>$B$19+(($B$18-$B$19)/(1+10^(S47)/($B$20/1000000)))</f>
        <v>0.21142909801814214</v>
      </c>
    </row>
    <row r="48" spans="1:20" x14ac:dyDescent="0.25">
      <c r="E48" s="15"/>
      <c r="S48" s="3">
        <v>-8.7000000000000099</v>
      </c>
      <c r="T48" s="7">
        <f>$B$19+(($B$18-$B$19)/(1+10^(S48)/($B$20/1000000)))</f>
        <v>0.21096861955446489</v>
      </c>
    </row>
    <row r="49" spans="19:20" x14ac:dyDescent="0.25">
      <c r="S49" s="3">
        <v>-8.6000000000000103</v>
      </c>
      <c r="T49" s="7">
        <f>$B$19+(($B$18-$B$19)/(1+10^(S49)/($B$20/1000000)))</f>
        <v>0.21039461394656297</v>
      </c>
    </row>
    <row r="50" spans="19:20" x14ac:dyDescent="0.25">
      <c r="S50" s="3">
        <v>-8.5000000000000107</v>
      </c>
      <c r="T50" s="7">
        <f>$B$19+(($B$18-$B$19)/(1+10^(S50)/($B$20/1000000)))</f>
        <v>0.20968087120555745</v>
      </c>
    </row>
    <row r="51" spans="19:20" x14ac:dyDescent="0.25">
      <c r="S51" s="3">
        <v>-8.4000000000000092</v>
      </c>
      <c r="T51" s="7">
        <f>$B$19+(($B$18-$B$19)/(1+10^(S51)/($B$20/1000000)))</f>
        <v>0.20879611581553059</v>
      </c>
    </row>
    <row r="52" spans="19:20" x14ac:dyDescent="0.25">
      <c r="S52" s="3">
        <v>-8.3000000000000096</v>
      </c>
      <c r="T52" s="7">
        <f>$B$19+(($B$18-$B$19)/(1+10^(S52)/($B$20/1000000)))</f>
        <v>0.2077035710147099</v>
      </c>
    </row>
    <row r="53" spans="19:20" x14ac:dyDescent="0.25">
      <c r="S53" s="3">
        <v>-8.2000000000000099</v>
      </c>
      <c r="T53" s="7">
        <f>$B$19+(($B$18-$B$19)/(1+10^(S53)/($B$20/1000000)))</f>
        <v>0.20636080730276685</v>
      </c>
    </row>
    <row r="54" spans="19:20" x14ac:dyDescent="0.25">
      <c r="S54" s="3">
        <v>-8.1000000000000103</v>
      </c>
      <c r="T54" s="7">
        <f>$B$19+(($B$18-$B$19)/(1+10^(S54)/($B$20/1000000)))</f>
        <v>0.20472008605004033</v>
      </c>
    </row>
    <row r="55" spans="19:20" x14ac:dyDescent="0.25">
      <c r="S55" s="3">
        <v>-8.0000000000000107</v>
      </c>
      <c r="T55" s="7">
        <f>$B$19+(($B$18-$B$19)/(1+10^(S55)/($B$20/1000000)))</f>
        <v>0.2027294744124726</v>
      </c>
    </row>
    <row r="56" spans="19:20" x14ac:dyDescent="0.25">
      <c r="S56" s="3">
        <v>-7.9000000000000101</v>
      </c>
      <c r="T56" s="7">
        <f>$B$19+(($B$18-$B$19)/(1+10^(S56)/($B$20/1000000)))</f>
        <v>0.20033505590417716</v>
      </c>
    </row>
    <row r="57" spans="19:20" x14ac:dyDescent="0.25">
      <c r="S57" s="3">
        <v>-7.8000000000000096</v>
      </c>
      <c r="T57" s="7">
        <f>$B$19+(($B$18-$B$19)/(1+10^(S57)/($B$20/1000000)))</f>
        <v>0.19748455644985774</v>
      </c>
    </row>
    <row r="58" spans="19:20" x14ac:dyDescent="0.25">
      <c r="S58" s="3">
        <v>-7.7000000000000099</v>
      </c>
      <c r="T58" s="7">
        <f>$B$19+(($B$18-$B$19)/(1+10^(S58)/($B$20/1000000)))</f>
        <v>0.19413259706685226</v>
      </c>
    </row>
    <row r="59" spans="19:20" x14ac:dyDescent="0.25">
      <c r="S59" s="3">
        <v>-7.6000000000000103</v>
      </c>
      <c r="T59" s="7">
        <f>$B$19+(($B$18-$B$19)/(1+10^(S59)/($B$20/1000000)))</f>
        <v>0.19024751481819874</v>
      </c>
    </row>
    <row r="60" spans="19:20" x14ac:dyDescent="0.25">
      <c r="S60" s="3">
        <v>-7.5000000000000098</v>
      </c>
      <c r="T60" s="7">
        <f>$B$19+(($B$18-$B$19)/(1+10^(S60)/($B$20/1000000)))</f>
        <v>0.18581923104661946</v>
      </c>
    </row>
    <row r="61" spans="19:20" x14ac:dyDescent="0.25">
      <c r="S61" s="3">
        <v>-7.4000000000000101</v>
      </c>
      <c r="T61" s="7">
        <f>$B$19+(($B$18-$B$19)/(1+10^(S61)/($B$20/1000000)))</f>
        <v>0.18086703193709602</v>
      </c>
    </row>
    <row r="62" spans="19:20" x14ac:dyDescent="0.25">
      <c r="S62" s="3">
        <v>-7.3000000000000096</v>
      </c>
      <c r="T62" s="7">
        <f>$B$19+(($B$18-$B$19)/(1+10^(S62)/($B$20/1000000)))</f>
        <v>0.1754455278914715</v>
      </c>
    </row>
    <row r="63" spans="19:20" x14ac:dyDescent="0.25">
      <c r="S63" s="3">
        <v>-7.2000000000000099</v>
      </c>
      <c r="T63" s="7">
        <f>$B$19+(($B$18-$B$19)/(1+10^(S63)/($B$20/1000000)))</f>
        <v>0.16964677122369343</v>
      </c>
    </row>
    <row r="64" spans="19:20" x14ac:dyDescent="0.25">
      <c r="S64" s="3">
        <v>-7.1000000000000103</v>
      </c>
      <c r="T64" s="7">
        <f>$B$19+(($B$18-$B$19)/(1+10^(S64)/($B$20/1000000)))</f>
        <v>0.16359686270799811</v>
      </c>
    </row>
    <row r="65" spans="19:20" x14ac:dyDescent="0.25">
      <c r="S65" s="3">
        <v>-7.0000000000000098</v>
      </c>
      <c r="T65" s="7">
        <f>$B$19+(($B$18-$B$19)/(1+10^(S65)/($B$20/1000000)))</f>
        <v>0.15744651377463062</v>
      </c>
    </row>
    <row r="66" spans="19:20" x14ac:dyDescent="0.25">
      <c r="S66" s="3">
        <v>-6.9000000000000101</v>
      </c>
      <c r="T66" s="7">
        <f>$B$19+(($B$18-$B$19)/(1+10^(S66)/($B$20/1000000)))</f>
        <v>0.15135671159853176</v>
      </c>
    </row>
    <row r="67" spans="19:20" x14ac:dyDescent="0.25">
      <c r="S67" s="3">
        <v>-6.8000000000000096</v>
      </c>
      <c r="T67" s="7">
        <f>$B$19+(($B$18-$B$19)/(1+10^(S67)/($B$20/1000000)))</f>
        <v>0.14548221939299039</v>
      </c>
    </row>
    <row r="68" spans="19:20" x14ac:dyDescent="0.25">
      <c r="S68" s="3">
        <v>-6.7000000000000197</v>
      </c>
      <c r="T68" s="7">
        <f>$B$19+(($B$18-$B$19)/(1+10^(S68)/($B$20/1000000)))</f>
        <v>0.13995639607953608</v>
      </c>
    </row>
    <row r="69" spans="19:20" x14ac:dyDescent="0.25">
      <c r="S69" s="3">
        <v>-6.6000000000000201</v>
      </c>
      <c r="T69" s="7">
        <f>$B$19+(($B$18-$B$19)/(1+10^(S69)/($B$20/1000000)))</f>
        <v>0.13488035782530639</v>
      </c>
    </row>
    <row r="70" spans="19:20" x14ac:dyDescent="0.25">
      <c r="S70" s="3">
        <v>-6.5000000000000204</v>
      </c>
      <c r="T70" s="7">
        <f>$B$19+(($B$18-$B$19)/(1+10^(S70)/($B$20/1000000)))</f>
        <v>0.13031806427008114</v>
      </c>
    </row>
    <row r="71" spans="19:20" x14ac:dyDescent="0.25">
      <c r="S71" s="3">
        <v>-6.4000000000000199</v>
      </c>
      <c r="T71" s="7">
        <f>$B$19+(($B$18-$B$19)/(1+10^(S71)/($B$20/1000000)))</f>
        <v>0.12629718449843116</v>
      </c>
    </row>
    <row r="72" spans="19:20" x14ac:dyDescent="0.25">
      <c r="S72" s="3">
        <v>-6.3000000000000203</v>
      </c>
      <c r="T72" s="7">
        <f>$B$19+(($B$18-$B$19)/(1+10^(S72)/($B$20/1000000)))</f>
        <v>0.12281428526554783</v>
      </c>
    </row>
    <row r="73" spans="19:20" x14ac:dyDescent="0.25">
      <c r="S73" s="3">
        <v>-6.2000000000000197</v>
      </c>
      <c r="T73" s="7">
        <f>$B$19+(($B$18-$B$19)/(1+10^(S73)/($B$20/1000000)))</f>
        <v>0.11984233818574602</v>
      </c>
    </row>
    <row r="74" spans="19:20" x14ac:dyDescent="0.25">
      <c r="S74" s="3">
        <v>-6.1000000000000201</v>
      </c>
      <c r="T74" s="7">
        <f>$B$19+(($B$18-$B$19)/(1+10^(S74)/($B$20/1000000)))</f>
        <v>0.11733869794011584</v>
      </c>
    </row>
    <row r="75" spans="19:20" x14ac:dyDescent="0.25">
      <c r="S75" s="3">
        <v>-6.0000000000000204</v>
      </c>
      <c r="T75" s="7">
        <f>$B$19+(($B$18-$B$19)/(1+10^(S75)/($B$20/1000000)))</f>
        <v>0.11525225588313932</v>
      </c>
    </row>
    <row r="76" spans="19:20" x14ac:dyDescent="0.25">
      <c r="S76" s="3">
        <v>-5.9000000000000199</v>
      </c>
      <c r="T76" s="7">
        <f>$B$19+(($B$18-$B$19)/(1+10^(S76)/($B$20/1000000)))</f>
        <v>0.11352910476259363</v>
      </c>
    </row>
    <row r="77" spans="19:20" x14ac:dyDescent="0.25">
      <c r="S77" s="3">
        <v>-5.8000000000000203</v>
      </c>
      <c r="T77" s="7">
        <f>$B$19+(($B$18-$B$19)/(1+10^(S77)/($B$20/1000000)))</f>
        <v>0.11211655877789997</v>
      </c>
    </row>
    <row r="78" spans="19:20" x14ac:dyDescent="0.25">
      <c r="S78" s="3">
        <v>-5.7000000000000197</v>
      </c>
      <c r="T78" s="7">
        <f>$B$19+(($B$18-$B$19)/(1+10^(S78)/($B$20/1000000)))</f>
        <v>0.11096568986014453</v>
      </c>
    </row>
    <row r="79" spans="19:20" x14ac:dyDescent="0.25">
      <c r="S79" s="3">
        <v>-5.6000000000000201</v>
      </c>
      <c r="T79" s="7">
        <f>$B$19+(($B$18-$B$19)/(1+10^(S79)/($B$20/1000000)))</f>
        <v>0.11003268487748413</v>
      </c>
    </row>
    <row r="80" spans="19:20" x14ac:dyDescent="0.25">
      <c r="S80" s="3">
        <v>-5.5000000000000204</v>
      </c>
      <c r="T80" s="7">
        <f>$B$19+(($B$18-$B$19)/(1+10^(S80)/($B$20/1000000)))</f>
        <v>0.10927935368927244</v>
      </c>
    </row>
    <row r="81" spans="19:20" x14ac:dyDescent="0.25">
      <c r="S81" s="3">
        <v>-5.4000000000000199</v>
      </c>
      <c r="T81" s="7">
        <f>$B$19+(($B$18-$B$19)/(1+10^(S81)/($B$20/1000000)))</f>
        <v>0.10867307898506144</v>
      </c>
    </row>
    <row r="82" spans="19:20" x14ac:dyDescent="0.25">
      <c r="S82" s="3">
        <v>-5.3000000000000203</v>
      </c>
      <c r="T82" s="7">
        <f>$B$19+(($B$18-$B$19)/(1+10^(S82)/($B$20/1000000)))</f>
        <v>0.10818643540194969</v>
      </c>
    </row>
    <row r="83" spans="19:20" x14ac:dyDescent="0.25">
      <c r="S83" s="3">
        <v>-5.2000000000000197</v>
      </c>
      <c r="T83" s="7">
        <f>$B$19+(($B$18-$B$19)/(1+10^(S83)/($B$20/1000000)))</f>
        <v>0.10779664090877233</v>
      </c>
    </row>
    <row r="84" spans="19:20" x14ac:dyDescent="0.25">
      <c r="S84" s="3">
        <v>-5.1000000000000201</v>
      </c>
      <c r="T84" s="7">
        <f>$B$19+(($B$18-$B$19)/(1+10^(S84)/($B$20/1000000)))</f>
        <v>0.10748494876495512</v>
      </c>
    </row>
    <row r="85" spans="19:20" x14ac:dyDescent="0.25">
      <c r="S85" s="3">
        <v>-5.0000000000000204</v>
      </c>
      <c r="T85" s="7">
        <f>$B$19+(($B$18-$B$19)/(1+10^(S85)/($B$20/1000000)))</f>
        <v>0.10723604667089931</v>
      </c>
    </row>
    <row r="86" spans="19:20" x14ac:dyDescent="0.25">
      <c r="S86" s="3">
        <v>-4.9000000000000199</v>
      </c>
      <c r="T86" s="7">
        <f>$B$19+(($B$18-$B$19)/(1+10^(S86)/($B$20/1000000)))</f>
        <v>0.10703750025020531</v>
      </c>
    </row>
    <row r="87" spans="19:20" x14ac:dyDescent="0.25">
      <c r="S87" s="3">
        <v>-4.8000000000000203</v>
      </c>
      <c r="T87" s="7">
        <f>$B$19+(($B$18-$B$19)/(1+10^(S87)/($B$20/1000000)))</f>
        <v>0.10687925842943212</v>
      </c>
    </row>
    <row r="88" spans="19:20" x14ac:dyDescent="0.25">
      <c r="S88" s="3">
        <v>-4.7000000000000197</v>
      </c>
      <c r="T88" s="7">
        <f>$B$19+(($B$18-$B$19)/(1+10^(S88)/($B$20/1000000)))</f>
        <v>0.10675322605026256</v>
      </c>
    </row>
    <row r="89" spans="19:20" x14ac:dyDescent="0.25">
      <c r="S89" s="3">
        <v>-4.6000000000000201</v>
      </c>
      <c r="T89" s="7">
        <f>$B$19+(($B$18-$B$19)/(1+10^(S89)/($B$20/1000000)))</f>
        <v>0.10665290192943629</v>
      </c>
    </row>
    <row r="90" spans="19:20" x14ac:dyDescent="0.25">
      <c r="S90" s="3">
        <v>-4.5000000000000204</v>
      </c>
      <c r="T90" s="7">
        <f>$B$19+(($B$18-$B$19)/(1+10^(S90)/($B$20/1000000)))</f>
        <v>0.1065730768393022</v>
      </c>
    </row>
    <row r="91" spans="19:20" x14ac:dyDescent="0.25">
      <c r="S91" s="3">
        <v>-4.4000000000000199</v>
      </c>
      <c r="T91" s="7">
        <f>$B$19+(($B$18-$B$19)/(1+10^(S91)/($B$20/1000000)))</f>
        <v>0.10650958426345628</v>
      </c>
    </row>
    <row r="92" spans="19:20" x14ac:dyDescent="0.25">
      <c r="S92" s="3">
        <v>-4.3000000000000203</v>
      </c>
      <c r="T92" s="7">
        <f>$B$19+(($B$18-$B$19)/(1+10^(S92)/($B$20/1000000)))</f>
        <v>0.10645909642901341</v>
      </c>
    </row>
    <row r="93" spans="19:20" x14ac:dyDescent="0.25">
      <c r="S93" s="3">
        <v>-4.2000000000000197</v>
      </c>
      <c r="T93" s="7">
        <f>$B$19+(($B$18-$B$19)/(1+10^(S93)/($B$20/1000000)))</f>
        <v>0.10641895846597639</v>
      </c>
    </row>
    <row r="94" spans="19:20" x14ac:dyDescent="0.25">
      <c r="S94" s="3">
        <v>-4.1000000000000201</v>
      </c>
      <c r="T94" s="7">
        <f>$B$19+(($B$18-$B$19)/(1+10^(S94)/($B$20/1000000)))</f>
        <v>0.10638705423949386</v>
      </c>
    </row>
    <row r="95" spans="19:20" x14ac:dyDescent="0.25">
      <c r="S95" s="3">
        <v>-4.0000000000000204</v>
      </c>
      <c r="T95" s="7">
        <f>$B$19+(($B$18-$B$19)/(1+10^(S95)/($B$20/1000000)))</f>
        <v>0.10636169822785246</v>
      </c>
    </row>
    <row r="96" spans="19:20" x14ac:dyDescent="0.25">
      <c r="S96" s="3">
        <v>-3.9000000000000199</v>
      </c>
      <c r="T96" s="7">
        <f>$B$19+(($B$18-$B$19)/(1+10^(S96)/($B$20/1000000)))</f>
        <v>0.10634154865491503</v>
      </c>
    </row>
    <row r="97" spans="19:20" x14ac:dyDescent="0.25">
      <c r="S97" s="3">
        <v>-3.8000000000000198</v>
      </c>
      <c r="T97" s="7">
        <f>$B$19+(($B$18-$B$19)/(1+10^(S97)/($B$20/1000000)))</f>
        <v>0.10632553786539516</v>
      </c>
    </row>
    <row r="98" spans="19:20" x14ac:dyDescent="0.25">
      <c r="S98" s="3">
        <v>-3.7000000000000202</v>
      </c>
      <c r="T98" s="7">
        <f>$B$19+(($B$18-$B$19)/(1+10^(S98)/($B$20/1000000)))</f>
        <v>0.10631281662513761</v>
      </c>
    </row>
    <row r="99" spans="19:20" x14ac:dyDescent="0.25">
      <c r="S99" s="3">
        <v>-3.6000000000000201</v>
      </c>
      <c r="T99" s="7">
        <f>$B$19+(($B$18-$B$19)/(1+10^(S99)/($B$20/1000000)))</f>
        <v>0.10630270962737305</v>
      </c>
    </row>
    <row r="100" spans="19:20" x14ac:dyDescent="0.25">
      <c r="S100" s="3">
        <v>-3.50000000000002</v>
      </c>
      <c r="T100" s="7">
        <f>$B$19+(($B$18-$B$19)/(1+10^(S100)/($B$20/1000000)))</f>
        <v>0.10629467999203031</v>
      </c>
    </row>
    <row r="101" spans="19:20" x14ac:dyDescent="0.25">
      <c r="S101" s="3">
        <v>-3.4000000000000199</v>
      </c>
      <c r="T101" s="7">
        <f>$B$19+(($B$18-$B$19)/(1+10^(S101)/($B$20/1000000)))</f>
        <v>0.10628830096662295</v>
      </c>
    </row>
    <row r="102" spans="19:20" x14ac:dyDescent="0.25">
      <c r="S102" s="3">
        <v>-3.3000000000000198</v>
      </c>
      <c r="T102" s="7">
        <f>$B$19+(($B$18-$B$19)/(1+10^(S102)/($B$20/1000000)))</f>
        <v>0.10628323338432617</v>
      </c>
    </row>
    <row r="103" spans="19:20" x14ac:dyDescent="0.25">
      <c r="S103" s="3">
        <v>-3.2000000000000202</v>
      </c>
      <c r="T103" s="7">
        <f>$B$19+(($B$18-$B$19)/(1+10^(S103)/($B$20/1000000)))</f>
        <v>0.10627920771840481</v>
      </c>
    </row>
    <row r="104" spans="19:20" x14ac:dyDescent="0.25">
      <c r="S104" s="3">
        <v>-3.1000000000000201</v>
      </c>
      <c r="T104" s="7">
        <f>$B$19+(($B$18-$B$19)/(1+10^(S104)/($B$20/1000000)))</f>
        <v>0.10627600980234807</v>
      </c>
    </row>
    <row r="105" spans="19:20" x14ac:dyDescent="0.25">
      <c r="S105" s="3">
        <v>-3.00000000000002</v>
      </c>
      <c r="T105" s="7">
        <f>$B$19+(($B$18-$B$19)/(1+10^(S105)/($B$20/1000000)))</f>
        <v>0.1062734694710631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Company>ETH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skraemer</dc:creator>
  <cp:lastModifiedBy>Kramer_W540</cp:lastModifiedBy>
  <cp:lastPrinted>2010-08-09T06:48:56Z</cp:lastPrinted>
  <dcterms:created xsi:type="dcterms:W3CDTF">2010-01-06T17:19:41Z</dcterms:created>
  <dcterms:modified xsi:type="dcterms:W3CDTF">2016-02-17T23:22:35Z</dcterms:modified>
</cp:coreProperties>
</file>